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60" yWindow="20" windowWidth="7300" windowHeight="8980" activeTab="0"/>
  </bookViews>
  <sheets>
    <sheet name="8" sheetId="1" r:id="rId1"/>
  </sheets>
  <definedNames>
    <definedName name="_xlnm.Print_Area" localSheetId="0">'8'!$A$1:$T$79</definedName>
  </definedNames>
  <calcPr fullCalcOnLoad="1"/>
</workbook>
</file>

<file path=xl/sharedStrings.xml><?xml version="1.0" encoding="utf-8"?>
<sst xmlns="http://schemas.openxmlformats.org/spreadsheetml/2006/main" count="193" uniqueCount="103">
  <si>
    <t>年次・市町村</t>
  </si>
  <si>
    <t>田</t>
  </si>
  <si>
    <t>畑</t>
  </si>
  <si>
    <t>市町村</t>
  </si>
  <si>
    <t>12</t>
  </si>
  <si>
    <t>鳥取市</t>
  </si>
  <si>
    <t>米子市</t>
  </si>
  <si>
    <t>倉吉市</t>
  </si>
  <si>
    <t>境港市</t>
  </si>
  <si>
    <t>Ａ</t>
  </si>
  <si>
    <t>岩美郡</t>
  </si>
  <si>
    <t>国府町</t>
  </si>
  <si>
    <t>岩美町</t>
  </si>
  <si>
    <t>福部村</t>
  </si>
  <si>
    <t>Ｂ</t>
  </si>
  <si>
    <t>八頭郡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</si>
  <si>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</si>
  <si>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</si>
  <si>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</si>
  <si>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</si>
  <si>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</si>
  <si>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</si>
  <si>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</si>
  <si>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</si>
  <si>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Ｃ</t>
  </si>
  <si>
    <t>気高郡</t>
  </si>
  <si>
    <t>気高町</t>
  </si>
  <si>
    <t>鹿野町</t>
  </si>
  <si>
    <t>青谷町</t>
  </si>
  <si>
    <t>Ｄ</t>
  </si>
  <si>
    <t>東伯郡</t>
  </si>
  <si>
    <t>羽合町</t>
  </si>
  <si>
    <t>東郷町</t>
  </si>
  <si>
    <t>三朝町</t>
  </si>
  <si>
    <t>関金町</t>
  </si>
  <si>
    <t>北条町</t>
  </si>
  <si>
    <t>大栄町</t>
  </si>
  <si>
    <t>東伯町</t>
  </si>
  <si>
    <t>赤碕町</t>
  </si>
  <si>
    <t>Ｅ</t>
  </si>
  <si>
    <t>西伯郡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</si>
  <si>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</si>
  <si>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</si>
  <si>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</si>
  <si>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</si>
  <si>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</si>
  <si>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</si>
  <si>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</si>
  <si>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</si>
  <si>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Ｆ</t>
  </si>
  <si>
    <t>日野郡</t>
  </si>
  <si>
    <t>日南町</t>
  </si>
  <si>
    <t>日野町</t>
  </si>
  <si>
    <t>江府町</t>
  </si>
  <si>
    <t>溝口町</t>
  </si>
  <si>
    <t>積及び評価額</t>
  </si>
  <si>
    <t>入力か所</t>
  </si>
  <si>
    <t xml:space="preserve">  この表は総務省が調査する「固定資産概要調書」の結果｡</t>
  </si>
  <si>
    <t xml:space="preserve">  （単位　面積　㎡　金額　千円)</t>
  </si>
  <si>
    <t xml:space="preserve">県税務課  </t>
  </si>
  <si>
    <t>総           数</t>
  </si>
  <si>
    <t xml:space="preserve"> 宅</t>
  </si>
  <si>
    <t xml:space="preserve">地 </t>
  </si>
  <si>
    <t>山            林</t>
  </si>
  <si>
    <t>原            野</t>
  </si>
  <si>
    <t>そ      の      他</t>
  </si>
  <si>
    <t>年　次</t>
  </si>
  <si>
    <t>田(一般田)</t>
  </si>
  <si>
    <t>田(介在田・市外化区域田)</t>
  </si>
  <si>
    <t>田(計)</t>
  </si>
  <si>
    <t>畑(一般田)</t>
  </si>
  <si>
    <t>畑(介在田・市外化区域田)</t>
  </si>
  <si>
    <t>畑(計)</t>
  </si>
  <si>
    <t>山林(一般山林)</t>
  </si>
  <si>
    <t>山林(介在山林)</t>
  </si>
  <si>
    <t>山林(計)</t>
  </si>
  <si>
    <t>地      積</t>
  </si>
  <si>
    <t>価      額</t>
  </si>
  <si>
    <t>13</t>
  </si>
  <si>
    <t>14</t>
  </si>
  <si>
    <t>市      部</t>
  </si>
  <si>
    <t>市  部</t>
  </si>
  <si>
    <t>郡      部</t>
  </si>
  <si>
    <t>郡  部</t>
  </si>
  <si>
    <t>泊    村</t>
  </si>
  <si>
    <r>
      <t>8  市   町   村   別   評   価   地</t>
    </r>
    <r>
      <rPr>
        <b/>
        <sz val="24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      </t>
    </r>
  </si>
  <si>
    <t>16</t>
  </si>
  <si>
    <t>15</t>
  </si>
  <si>
    <t>平成12～平成16年</t>
  </si>
  <si>
    <t>年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</si>
  <si>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</si>
  <si>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</si>
  <si>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</si>
  <si>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</si>
  <si>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</si>
  <si>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</si>
  <si>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</si>
  <si>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</si>
  <si>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</si>
  <si>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 xml:space="preserve">     13   〃</t>
  </si>
  <si>
    <t xml:space="preserve">     14   〃</t>
  </si>
  <si>
    <t xml:space="preserve">     15   〃</t>
  </si>
  <si>
    <t xml:space="preserve">     16   〃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</si>
</sst>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#\ ?/16"/>
    <numFmt numFmtId="180" formatCode="#,##0.0_ "/>
    <numFmt numFmtId="181" formatCode="0_ "/>
    <numFmt numFmtId="182" formatCode="#,##0;&quot;△ &quot;#,##0"/>
    <numFmt numFmtId="183" formatCode="#,##0.0;&quot;△ &quot;#,##0.0"/>
    <numFmt numFmtId="184" formatCode="#,##0.0_);[Red]\(#,##0.0\)"/>
    <numFmt numFmtId="185" formatCode="0.0;&quot;△ &quot;0.0"/>
    <numFmt numFmtId="186" formatCode="0;&quot;△ &quot;0"/>
    <numFmt numFmtId="187" formatCode="#,##0_ "/>
    <numFmt numFmtId="188" formatCode="#\ ###\ ###\ ##0;[Red]\-#\ ###\ ###\ ##0"/>
    <numFmt numFmtId="189" formatCode="_ * #\ ###\ ###\ ##0_ ;_ * \-#\ ###\ ###\ ##0_ ;_ * &quot;-&quot;_ ;_ @_ "/>
    <numFmt numFmtId="190" formatCode="#\ ###\ ###\ ##0\ ;\-#\ ###\ ###\ ##0\ "/>
    <numFmt numFmtId="191" formatCode="#\ ###\ ###\ ##0\ ;"/>
    <numFmt numFmtId="192" formatCode="#\ ###\ ###\ ##0\ "/>
    <numFmt numFmtId="193" formatCode="#\ ###\ ###\ ##0_;"/>
    <numFmt numFmtId="194" formatCode="#\ ###\ ###\ ###\ ;"/>
    <numFmt numFmtId="195" formatCode="\ ###\ ##0\ "/>
    <numFmt numFmtId="196" formatCode="\ #"/>
    <numFmt numFmtId="197" formatCode="[$-411]g&quot;年&quot;m&quot;月&quot;d&quot;日&quot;"/>
  </numFmts>
  <fonts count="12">
    <font>
      <sz val="11"/>
      <name val="ＭＳ Ｐゴシック"/>
      <family val="3"/>
    </font>
    <font>
      <sz val="11"/>
      <name val="ＭＳ 明朝"/>
      <family val="1"/>
    </font>
    <font>
      <b/>
      <sz val="22"/>
      <name val="ＭＳ 明朝"/>
      <family val="1"/>
    </font>
    <font>
      <b/>
      <sz val="24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distributed" vertical="distributed"/>
    </xf>
    <xf numFmtId="0" fontId="1" fillId="0" borderId="6" xfId="0" applyFont="1" applyFill="1" applyBorder="1" applyAlignment="1">
      <alignment horizontal="distributed" vertical="distributed"/>
    </xf>
    <xf numFmtId="188" fontId="1" fillId="0" borderId="0" xfId="0" applyNumberFormat="1" applyFont="1" applyFill="1" applyBorder="1" applyAlignment="1">
      <alignment horizontal="distributed" vertical="top"/>
    </xf>
    <xf numFmtId="0" fontId="1" fillId="0" borderId="7" xfId="0" applyFont="1" applyFill="1" applyBorder="1" applyAlignment="1">
      <alignment horizontal="distributed" vertical="distributed"/>
    </xf>
    <xf numFmtId="0" fontId="1" fillId="0" borderId="0" xfId="0" applyFont="1" applyFill="1" applyBorder="1" applyAlignment="1">
      <alignment horizontal="distributed" vertical="distributed"/>
    </xf>
    <xf numFmtId="0" fontId="1" fillId="0" borderId="6" xfId="0" applyFont="1" applyFill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49" fontId="1" fillId="0" borderId="7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188" fontId="8" fillId="0" borderId="0" xfId="0" applyNumberFormat="1" applyFont="1" applyFill="1" applyAlignment="1">
      <alignment vertical="center"/>
    </xf>
    <xf numFmtId="49" fontId="8" fillId="0" borderId="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88" fontId="9" fillId="0" borderId="0" xfId="0" applyNumberFormat="1" applyFont="1" applyFill="1" applyAlignment="1">
      <alignment/>
    </xf>
    <xf numFmtId="0" fontId="7" fillId="0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6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distributed" vertical="distributed"/>
    </xf>
    <xf numFmtId="0" fontId="1" fillId="0" borderId="7" xfId="0" applyFont="1" applyFill="1" applyBorder="1" applyAlignment="1">
      <alignment vertical="center"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>
      <alignment horizontal="distributed" vertical="center"/>
    </xf>
    <xf numFmtId="188" fontId="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88" fontId="9" fillId="0" borderId="0" xfId="0" applyNumberFormat="1" applyFont="1" applyFill="1" applyAlignment="1">
      <alignment vertical="center"/>
    </xf>
    <xf numFmtId="0" fontId="7" fillId="0" borderId="7" xfId="0" applyFont="1" applyFill="1" applyBorder="1" applyAlignment="1">
      <alignment horizontal="right" vertical="center"/>
    </xf>
    <xf numFmtId="188" fontId="11" fillId="0" borderId="0" xfId="0" applyNumberFormat="1" applyFont="1" applyFill="1" applyAlignment="1">
      <alignment vertical="center"/>
    </xf>
    <xf numFmtId="182" fontId="1" fillId="0" borderId="7" xfId="0" applyNumberFormat="1" applyFont="1" applyFill="1" applyBorder="1" applyAlignment="1">
      <alignment vertical="center"/>
    </xf>
    <xf numFmtId="182" fontId="8" fillId="0" borderId="7" xfId="0" applyNumberFormat="1" applyFont="1" applyFill="1" applyBorder="1" applyAlignment="1">
      <alignment horizontal="right" vertical="center"/>
    </xf>
    <xf numFmtId="182" fontId="9" fillId="0" borderId="7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/>
    </xf>
    <xf numFmtId="0" fontId="1" fillId="0" borderId="8" xfId="0" applyFont="1" applyFill="1" applyBorder="1" applyAlignment="1">
      <alignment horizontal="distributed" vertical="center"/>
    </xf>
    <xf numFmtId="0" fontId="1" fillId="0" borderId="9" xfId="0" applyFont="1" applyFill="1" applyBorder="1" applyAlignment="1">
      <alignment horizontal="distributed" vertical="center"/>
    </xf>
    <xf numFmtId="189" fontId="1" fillId="0" borderId="8" xfId="0" applyNumberFormat="1" applyFont="1" applyFill="1" applyBorder="1" applyAlignment="1">
      <alignment/>
    </xf>
    <xf numFmtId="188" fontId="1" fillId="0" borderId="8" xfId="0" applyNumberFormat="1" applyFont="1" applyFill="1" applyBorder="1" applyAlignment="1">
      <alignment/>
    </xf>
    <xf numFmtId="182" fontId="1" fillId="0" borderId="10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/>
    </xf>
    <xf numFmtId="49" fontId="10" fillId="0" borderId="7" xfId="0" applyNumberFormat="1" applyFont="1" applyFill="1" applyBorder="1" applyAlignment="1">
      <alignment horizontal="right"/>
    </xf>
    <xf numFmtId="49" fontId="9" fillId="0" borderId="7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distributed"/>
    </xf>
    <xf numFmtId="0" fontId="1" fillId="0" borderId="16" xfId="0" applyFont="1" applyFill="1" applyBorder="1" applyAlignment="1">
      <alignment horizontal="center" vertical="distributed"/>
    </xf>
    <xf numFmtId="0" fontId="1" fillId="0" borderId="15" xfId="0" applyFont="1" applyFill="1" applyBorder="1" applyAlignment="1">
      <alignment horizontal="center" vertical="distributed"/>
    </xf>
    <xf numFmtId="0" fontId="1" fillId="0" borderId="17" xfId="0" applyFont="1" applyFill="1" applyBorder="1" applyAlignment="1">
      <alignment horizontal="center" vertical="distributed"/>
    </xf>
    <xf numFmtId="0" fontId="1" fillId="0" borderId="11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58" fontId="1" fillId="0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79"/>
  <sheetViews>
    <sheetView tabSelected="1" zoomScaleSheetLayoutView="75" workbookViewId="0" topLeftCell="A1">
      <pane xSplit="3" ySplit="8" topLeftCell="G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7" sqref="H7"/>
    </sheetView>
  </sheetViews>
  <sheetFormatPr defaultColWidth="13.00390625" defaultRowHeight="13.5"/>
  <cols>
    <col min="1" max="1" width="4.50390625" style="6" customWidth="1"/>
    <col min="2" max="2" width="11.375" style="6" customWidth="1"/>
    <col min="3" max="3" width="0.5" style="6" customWidth="1"/>
    <col min="4" max="5" width="16.125" style="6" customWidth="1"/>
    <col min="6" max="6" width="15.125" style="6" customWidth="1"/>
    <col min="7" max="7" width="15.375" style="6" customWidth="1"/>
    <col min="8" max="8" width="15.625" style="6" customWidth="1"/>
    <col min="9" max="10" width="15.125" style="6" customWidth="1"/>
    <col min="11" max="11" width="0.875" style="6" customWidth="1"/>
    <col min="12" max="12" width="17.00390625" style="6" customWidth="1"/>
    <col min="13" max="13" width="15.625" style="6" customWidth="1"/>
    <col min="14" max="14" width="15.375" style="6" customWidth="1"/>
    <col min="15" max="15" width="15.50390625" style="6" customWidth="1"/>
    <col min="16" max="16" width="15.375" style="6" customWidth="1"/>
    <col min="17" max="17" width="16.875" style="6" customWidth="1"/>
    <col min="18" max="18" width="15.625" style="6" customWidth="1"/>
    <col min="19" max="19" width="4.625" style="6" customWidth="1"/>
    <col min="20" max="20" width="2.625" style="6" customWidth="1"/>
    <col min="21" max="28" width="6.00390625" style="6" customWidth="1"/>
    <col min="29" max="29" width="9.125" style="6" customWidth="1"/>
    <col min="30" max="30" width="0" style="6" hidden="1" customWidth="1"/>
    <col min="31" max="31" width="16.125" style="6" hidden="1" customWidth="1"/>
    <col min="32" max="32" width="15.00390625" style="6" hidden="1" customWidth="1"/>
    <col min="33" max="33" width="13.375" style="6" hidden="1" customWidth="1"/>
    <col min="34" max="34" width="14.00390625" style="6" hidden="1" customWidth="1"/>
    <col min="35" max="35" width="15.625" style="6" hidden="1" customWidth="1"/>
    <col min="36" max="36" width="15.375" style="6" hidden="1" customWidth="1"/>
    <col min="37" max="37" width="16.875" style="6" hidden="1" customWidth="1"/>
    <col min="38" max="38" width="15.00390625" style="6" hidden="1" customWidth="1"/>
    <col min="39" max="39" width="13.50390625" style="6" hidden="1" customWidth="1"/>
    <col min="40" max="40" width="15.875" style="6" hidden="1" customWidth="1"/>
    <col min="41" max="41" width="15.625" style="6" hidden="1" customWidth="1"/>
    <col min="42" max="42" width="15.375" style="6" hidden="1" customWidth="1"/>
    <col min="43" max="44" width="15.00390625" style="6" hidden="1" customWidth="1"/>
    <col min="45" max="45" width="13.00390625" style="6" hidden="1" customWidth="1"/>
    <col min="46" max="46" width="15.875" style="6" hidden="1" customWidth="1"/>
    <col min="47" max="48" width="15.375" style="6" hidden="1" customWidth="1"/>
    <col min="49" max="49" width="2.625" style="6" customWidth="1"/>
    <col min="50" max="16384" width="9.00390625" style="6" customWidth="1"/>
  </cols>
  <sheetData>
    <row r="1" spans="2:17" s="1" customFormat="1" ht="25.5" customHeight="1">
      <c r="B1" s="2"/>
      <c r="C1" s="2"/>
      <c r="E1" s="98" t="s">
        <v>85</v>
      </c>
      <c r="F1" s="99"/>
      <c r="G1" s="99"/>
      <c r="H1" s="99"/>
      <c r="I1" s="99"/>
      <c r="J1" s="99"/>
      <c r="K1" s="3"/>
      <c r="L1" s="89" t="s">
        <v>55</v>
      </c>
      <c r="M1" s="89"/>
      <c r="N1" s="89"/>
      <c r="O1" s="90" t="s">
        <v>88</v>
      </c>
      <c r="P1" s="90"/>
      <c r="Q1" s="4"/>
    </row>
    <row r="2" spans="1:48" ht="16.5" customHeight="1">
      <c r="A2" s="5"/>
      <c r="B2" s="5"/>
      <c r="C2" s="5"/>
      <c r="D2" s="5"/>
      <c r="E2" s="5"/>
      <c r="F2" s="5"/>
      <c r="AD2" s="7" t="s">
        <v>56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</row>
    <row r="3" spans="1:6" s="10" customFormat="1" ht="12.75" customHeight="1">
      <c r="A3" s="96" t="s">
        <v>57</v>
      </c>
      <c r="B3" s="96"/>
      <c r="C3" s="96"/>
      <c r="D3" s="96"/>
      <c r="E3" s="96"/>
      <c r="F3" s="96"/>
    </row>
    <row r="4" spans="1:20" s="11" customFormat="1" ht="12.75" customHeight="1">
      <c r="A4" s="95" t="s">
        <v>58</v>
      </c>
      <c r="B4" s="95"/>
      <c r="C4" s="95"/>
      <c r="D4" s="95"/>
      <c r="E4" s="95"/>
      <c r="F4" s="12"/>
      <c r="R4" s="97" t="s">
        <v>59</v>
      </c>
      <c r="S4" s="95"/>
      <c r="T4" s="95"/>
    </row>
    <row r="5" spans="2:19" s="11" customFormat="1" ht="4.5" customHeight="1" thickBot="1">
      <c r="B5" s="5"/>
      <c r="C5" s="5"/>
      <c r="D5" s="5"/>
      <c r="E5" s="5"/>
      <c r="K5" s="13"/>
      <c r="R5" s="1"/>
      <c r="S5" s="1"/>
    </row>
    <row r="6" spans="1:48" ht="24.75" customHeight="1" thickTop="1">
      <c r="A6" s="105" t="s">
        <v>0</v>
      </c>
      <c r="B6" s="105"/>
      <c r="C6" s="106"/>
      <c r="D6" s="87" t="s">
        <v>60</v>
      </c>
      <c r="E6" s="88"/>
      <c r="F6" s="84" t="s">
        <v>1</v>
      </c>
      <c r="G6" s="84"/>
      <c r="H6" s="84" t="s">
        <v>2</v>
      </c>
      <c r="I6" s="84"/>
      <c r="J6" s="14" t="s">
        <v>61</v>
      </c>
      <c r="K6" s="16"/>
      <c r="L6" s="15" t="s">
        <v>62</v>
      </c>
      <c r="M6" s="109" t="s">
        <v>63</v>
      </c>
      <c r="N6" s="109"/>
      <c r="O6" s="109" t="s">
        <v>64</v>
      </c>
      <c r="P6" s="109"/>
      <c r="Q6" s="109" t="s">
        <v>65</v>
      </c>
      <c r="R6" s="109"/>
      <c r="S6" s="91" t="s">
        <v>66</v>
      </c>
      <c r="T6" s="92"/>
      <c r="U6" s="17"/>
      <c r="V6" s="17"/>
      <c r="W6" s="17"/>
      <c r="X6" s="17"/>
      <c r="Y6" s="17"/>
      <c r="Z6" s="17"/>
      <c r="AA6" s="17"/>
      <c r="AB6" s="17"/>
      <c r="AE6" s="84" t="s">
        <v>67</v>
      </c>
      <c r="AF6" s="84"/>
      <c r="AG6" s="84" t="s">
        <v>68</v>
      </c>
      <c r="AH6" s="84"/>
      <c r="AI6" s="84" t="s">
        <v>69</v>
      </c>
      <c r="AJ6" s="84"/>
      <c r="AK6" s="84" t="s">
        <v>70</v>
      </c>
      <c r="AL6" s="84"/>
      <c r="AM6" s="84" t="s">
        <v>71</v>
      </c>
      <c r="AN6" s="84"/>
      <c r="AO6" s="84" t="s">
        <v>72</v>
      </c>
      <c r="AP6" s="84"/>
      <c r="AQ6" s="84" t="s">
        <v>73</v>
      </c>
      <c r="AR6" s="84"/>
      <c r="AS6" s="84" t="s">
        <v>74</v>
      </c>
      <c r="AT6" s="84"/>
      <c r="AU6" s="84" t="s">
        <v>75</v>
      </c>
      <c r="AV6" s="84"/>
    </row>
    <row r="7" spans="1:48" ht="24.75" customHeight="1">
      <c r="A7" s="107"/>
      <c r="B7" s="107"/>
      <c r="C7" s="108"/>
      <c r="D7" s="18" t="s">
        <v>76</v>
      </c>
      <c r="E7" s="19" t="s">
        <v>77</v>
      </c>
      <c r="F7" s="20" t="s">
        <v>76</v>
      </c>
      <c r="G7" s="19" t="s">
        <v>77</v>
      </c>
      <c r="H7" s="19" t="s">
        <v>76</v>
      </c>
      <c r="I7" s="19" t="s">
        <v>77</v>
      </c>
      <c r="J7" s="19" t="s">
        <v>76</v>
      </c>
      <c r="K7" s="21"/>
      <c r="L7" s="18" t="s">
        <v>77</v>
      </c>
      <c r="M7" s="19" t="s">
        <v>76</v>
      </c>
      <c r="N7" s="19" t="s">
        <v>77</v>
      </c>
      <c r="O7" s="19" t="s">
        <v>76</v>
      </c>
      <c r="P7" s="19" t="s">
        <v>77</v>
      </c>
      <c r="Q7" s="19" t="s">
        <v>76</v>
      </c>
      <c r="R7" s="19" t="s">
        <v>77</v>
      </c>
      <c r="S7" s="93" t="s">
        <v>3</v>
      </c>
      <c r="T7" s="94"/>
      <c r="U7" s="22"/>
      <c r="V7" s="22"/>
      <c r="W7" s="22"/>
      <c r="X7" s="22"/>
      <c r="Y7" s="22"/>
      <c r="Z7" s="22"/>
      <c r="AA7" s="22"/>
      <c r="AB7" s="22"/>
      <c r="AE7" s="20" t="s">
        <v>76</v>
      </c>
      <c r="AF7" s="19" t="s">
        <v>77</v>
      </c>
      <c r="AG7" s="20" t="s">
        <v>76</v>
      </c>
      <c r="AH7" s="19" t="s">
        <v>77</v>
      </c>
      <c r="AI7" s="20" t="s">
        <v>76</v>
      </c>
      <c r="AJ7" s="19" t="s">
        <v>77</v>
      </c>
      <c r="AK7" s="20" t="s">
        <v>76</v>
      </c>
      <c r="AL7" s="19" t="s">
        <v>77</v>
      </c>
      <c r="AM7" s="20" t="s">
        <v>76</v>
      </c>
      <c r="AN7" s="19" t="s">
        <v>77</v>
      </c>
      <c r="AO7" s="20" t="s">
        <v>76</v>
      </c>
      <c r="AP7" s="19" t="s">
        <v>77</v>
      </c>
      <c r="AQ7" s="20" t="s">
        <v>76</v>
      </c>
      <c r="AR7" s="19" t="s">
        <v>77</v>
      </c>
      <c r="AS7" s="20" t="s">
        <v>76</v>
      </c>
      <c r="AT7" s="19" t="s">
        <v>77</v>
      </c>
      <c r="AU7" s="20" t="s">
        <v>76</v>
      </c>
      <c r="AV7" s="19" t="s">
        <v>77</v>
      </c>
    </row>
    <row r="8" spans="1:48" ht="6" customHeight="1">
      <c r="A8" s="23"/>
      <c r="B8" s="23"/>
      <c r="C8" s="24"/>
      <c r="D8" s="21"/>
      <c r="E8" s="16"/>
      <c r="F8" s="25"/>
      <c r="G8" s="16"/>
      <c r="H8" s="21"/>
      <c r="I8" s="16"/>
      <c r="J8" s="21"/>
      <c r="K8" s="21"/>
      <c r="L8" s="16"/>
      <c r="M8" s="21"/>
      <c r="N8" s="16"/>
      <c r="O8" s="21"/>
      <c r="P8" s="16"/>
      <c r="Q8" s="21"/>
      <c r="R8" s="16"/>
      <c r="S8" s="26"/>
      <c r="T8" s="27"/>
      <c r="U8" s="27"/>
      <c r="V8" s="27"/>
      <c r="W8" s="27"/>
      <c r="X8" s="27"/>
      <c r="Y8" s="27"/>
      <c r="Z8" s="27"/>
      <c r="AA8" s="27"/>
      <c r="AB8" s="27"/>
      <c r="AE8" s="25"/>
      <c r="AF8" s="16"/>
      <c r="AG8" s="25"/>
      <c r="AH8" s="16"/>
      <c r="AI8" s="25"/>
      <c r="AJ8" s="16"/>
      <c r="AK8" s="25"/>
      <c r="AL8" s="16"/>
      <c r="AM8" s="25"/>
      <c r="AN8" s="16"/>
      <c r="AO8" s="25"/>
      <c r="AP8" s="16"/>
      <c r="AQ8" s="25"/>
      <c r="AR8" s="16"/>
      <c r="AS8" s="25"/>
      <c r="AT8" s="16"/>
      <c r="AU8" s="25"/>
      <c r="AV8" s="16"/>
    </row>
    <row r="9" spans="1:48" s="1" customFormat="1" ht="13.5" customHeight="1">
      <c r="A9" s="110">
        <v>36526</v>
      </c>
      <c r="B9" s="110"/>
      <c r="C9" s="111"/>
      <c r="D9" s="31">
        <v>1346780540</v>
      </c>
      <c r="E9" s="31">
        <v>3154325378</v>
      </c>
      <c r="F9" s="31">
        <v>266513864</v>
      </c>
      <c r="G9" s="31">
        <v>131186551</v>
      </c>
      <c r="H9" s="31">
        <v>161447064</v>
      </c>
      <c r="I9" s="31">
        <v>126598571</v>
      </c>
      <c r="J9" s="31">
        <v>99145531</v>
      </c>
      <c r="K9" s="31">
        <v>0</v>
      </c>
      <c r="L9" s="31">
        <v>2683491769</v>
      </c>
      <c r="M9" s="31">
        <v>655483993</v>
      </c>
      <c r="N9" s="31">
        <v>13523012</v>
      </c>
      <c r="O9" s="31">
        <v>133368616</v>
      </c>
      <c r="P9" s="31">
        <v>1326514</v>
      </c>
      <c r="Q9" s="31">
        <v>30821472</v>
      </c>
      <c r="R9" s="31">
        <v>198198961</v>
      </c>
      <c r="S9" s="30" t="s">
        <v>4</v>
      </c>
      <c r="T9" s="9" t="s">
        <v>89</v>
      </c>
      <c r="U9" s="9"/>
      <c r="V9" s="9"/>
      <c r="W9" s="9"/>
      <c r="X9" s="9"/>
      <c r="Y9" s="9"/>
      <c r="Z9" s="9"/>
      <c r="AA9" s="9"/>
      <c r="AB9" s="9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</row>
    <row r="10" spans="1:48" s="1" customFormat="1" ht="13.5" customHeight="1">
      <c r="A10" s="103" t="s">
        <v>99</v>
      </c>
      <c r="B10" s="103"/>
      <c r="C10" s="104"/>
      <c r="D10" s="29">
        <v>1344814134</v>
      </c>
      <c r="E10" s="29">
        <v>3145817675</v>
      </c>
      <c r="F10" s="29">
        <v>265159519</v>
      </c>
      <c r="G10" s="29">
        <v>125299027</v>
      </c>
      <c r="H10" s="29">
        <v>160602905</v>
      </c>
      <c r="I10" s="29">
        <v>125629708</v>
      </c>
      <c r="J10" s="29">
        <v>100182024</v>
      </c>
      <c r="K10" s="29"/>
      <c r="L10" s="29">
        <v>2686584048</v>
      </c>
      <c r="M10" s="29">
        <v>655340512</v>
      </c>
      <c r="N10" s="29">
        <v>12683039</v>
      </c>
      <c r="O10" s="29">
        <v>132729299</v>
      </c>
      <c r="P10" s="29">
        <v>1291395</v>
      </c>
      <c r="Q10" s="29">
        <v>30799875</v>
      </c>
      <c r="R10" s="29">
        <v>194330458</v>
      </c>
      <c r="S10" s="30" t="s">
        <v>78</v>
      </c>
      <c r="T10" s="9"/>
      <c r="U10" s="9"/>
      <c r="V10" s="9"/>
      <c r="W10" s="9"/>
      <c r="X10" s="9"/>
      <c r="Y10" s="9"/>
      <c r="Z10" s="9"/>
      <c r="AA10" s="9"/>
      <c r="AB10" s="9"/>
      <c r="AE10" s="29" t="e">
        <f>#REF!+AE14</f>
        <v>#REF!</v>
      </c>
      <c r="AF10" s="29" t="e">
        <f>#REF!+AF14</f>
        <v>#REF!</v>
      </c>
      <c r="AG10" s="29" t="e">
        <f>#REF!+AG14</f>
        <v>#REF!</v>
      </c>
      <c r="AH10" s="29" t="e">
        <f>#REF!+AH14</f>
        <v>#REF!</v>
      </c>
      <c r="AI10" s="29" t="e">
        <f>#REF!+AI14</f>
        <v>#REF!</v>
      </c>
      <c r="AJ10" s="29" t="e">
        <f>#REF!+AJ14</f>
        <v>#REF!</v>
      </c>
      <c r="AK10" s="29" t="e">
        <f>#REF!+AK14</f>
        <v>#REF!</v>
      </c>
      <c r="AL10" s="29" t="e">
        <f>#REF!+AL14</f>
        <v>#REF!</v>
      </c>
      <c r="AM10" s="29" t="e">
        <f>#REF!+AM14</f>
        <v>#REF!</v>
      </c>
      <c r="AN10" s="29" t="e">
        <f>#REF!+AN14</f>
        <v>#REF!</v>
      </c>
      <c r="AO10" s="29" t="e">
        <f>#REF!+AO14</f>
        <v>#REF!</v>
      </c>
      <c r="AP10" s="29" t="e">
        <f>#REF!+AP14</f>
        <v>#REF!</v>
      </c>
      <c r="AQ10" s="29" t="e">
        <f>#REF!+AQ14</f>
        <v>#REF!</v>
      </c>
      <c r="AR10" s="29" t="e">
        <f>#REF!+AR14</f>
        <v>#REF!</v>
      </c>
      <c r="AS10" s="29" t="e">
        <f>#REF!+AS14</f>
        <v>#REF!</v>
      </c>
      <c r="AT10" s="29" t="e">
        <f>#REF!+AT14</f>
        <v>#REF!</v>
      </c>
      <c r="AU10" s="29" t="e">
        <f>#REF!+AU14</f>
        <v>#REF!</v>
      </c>
      <c r="AV10" s="29" t="e">
        <f>#REF!+AV14</f>
        <v>#REF!</v>
      </c>
    </row>
    <row r="11" spans="1:48" s="1" customFormat="1" ht="13.5" customHeight="1">
      <c r="A11" s="103" t="s">
        <v>100</v>
      </c>
      <c r="B11" s="103"/>
      <c r="C11" s="104"/>
      <c r="D11" s="29">
        <v>1341438130</v>
      </c>
      <c r="E11" s="29">
        <v>3085904621</v>
      </c>
      <c r="F11" s="29">
        <v>263855757</v>
      </c>
      <c r="G11" s="29">
        <v>117944470</v>
      </c>
      <c r="H11" s="29">
        <v>160046424</v>
      </c>
      <c r="I11" s="29">
        <v>120893144</v>
      </c>
      <c r="J11" s="29">
        <v>101053778</v>
      </c>
      <c r="K11" s="29"/>
      <c r="L11" s="29">
        <v>2643773379</v>
      </c>
      <c r="M11" s="29">
        <v>653242572</v>
      </c>
      <c r="N11" s="29">
        <v>12562854</v>
      </c>
      <c r="O11" s="29">
        <v>132430877</v>
      </c>
      <c r="P11" s="29">
        <v>1290124</v>
      </c>
      <c r="Q11" s="29">
        <v>30808722</v>
      </c>
      <c r="R11" s="29">
        <v>189440650</v>
      </c>
      <c r="S11" s="30" t="s">
        <v>79</v>
      </c>
      <c r="T11" s="9"/>
      <c r="U11" s="9"/>
      <c r="V11" s="9"/>
      <c r="W11" s="9"/>
      <c r="X11" s="9"/>
      <c r="Y11" s="9"/>
      <c r="Z11" s="9"/>
      <c r="AA11" s="9"/>
      <c r="AB11" s="9"/>
      <c r="AE11" s="29">
        <f aca="true" t="shared" si="0" ref="AE11:AV11">AE12+AE13</f>
        <v>261297220</v>
      </c>
      <c r="AF11" s="29">
        <f t="shared" si="0"/>
        <v>31169233</v>
      </c>
      <c r="AG11" s="29">
        <f t="shared" si="0"/>
        <v>2558537</v>
      </c>
      <c r="AH11" s="29">
        <f t="shared" si="0"/>
        <v>86775237</v>
      </c>
      <c r="AI11" s="29">
        <f t="shared" si="0"/>
        <v>263855757</v>
      </c>
      <c r="AJ11" s="29">
        <f t="shared" si="0"/>
        <v>117944470</v>
      </c>
      <c r="AK11" s="29">
        <f t="shared" si="0"/>
        <v>156647220</v>
      </c>
      <c r="AL11" s="29">
        <f t="shared" si="0"/>
        <v>6919457</v>
      </c>
      <c r="AM11" s="29">
        <f t="shared" si="0"/>
        <v>3399204</v>
      </c>
      <c r="AN11" s="29">
        <f t="shared" si="0"/>
        <v>113973687</v>
      </c>
      <c r="AO11" s="29">
        <f t="shared" si="0"/>
        <v>160046424</v>
      </c>
      <c r="AP11" s="29">
        <f t="shared" si="0"/>
        <v>120893144</v>
      </c>
      <c r="AQ11" s="29">
        <f t="shared" si="0"/>
        <v>652627940</v>
      </c>
      <c r="AR11" s="29">
        <f t="shared" si="0"/>
        <v>7781469</v>
      </c>
      <c r="AS11" s="29">
        <f t="shared" si="0"/>
        <v>614632</v>
      </c>
      <c r="AT11" s="29">
        <f t="shared" si="0"/>
        <v>4781385</v>
      </c>
      <c r="AU11" s="29">
        <f t="shared" si="0"/>
        <v>653242572</v>
      </c>
      <c r="AV11" s="29">
        <f t="shared" si="0"/>
        <v>12562854</v>
      </c>
    </row>
    <row r="12" spans="1:48" s="1" customFormat="1" ht="13.5" customHeight="1">
      <c r="A12" s="103" t="s">
        <v>101</v>
      </c>
      <c r="B12" s="103"/>
      <c r="C12" s="104"/>
      <c r="D12" s="29">
        <v>1340268229</v>
      </c>
      <c r="E12" s="29">
        <v>2938457047</v>
      </c>
      <c r="F12" s="29">
        <v>262512263</v>
      </c>
      <c r="G12" s="29">
        <v>109254190</v>
      </c>
      <c r="H12" s="29">
        <v>159746898</v>
      </c>
      <c r="I12" s="29">
        <v>109780342</v>
      </c>
      <c r="J12" s="29">
        <v>101748303</v>
      </c>
      <c r="K12" s="29">
        <v>0</v>
      </c>
      <c r="L12" s="29">
        <v>2523812526</v>
      </c>
      <c r="M12" s="29">
        <v>623052072</v>
      </c>
      <c r="N12" s="29">
        <v>12248614</v>
      </c>
      <c r="O12" s="29">
        <v>132372115</v>
      </c>
      <c r="P12" s="29">
        <v>1214861</v>
      </c>
      <c r="Q12" s="29">
        <v>31190578</v>
      </c>
      <c r="R12" s="29">
        <v>182146514</v>
      </c>
      <c r="S12" s="30" t="s">
        <v>87</v>
      </c>
      <c r="T12" s="9"/>
      <c r="U12" s="9"/>
      <c r="V12" s="9"/>
      <c r="W12" s="9"/>
      <c r="X12" s="9"/>
      <c r="Y12" s="9"/>
      <c r="Z12" s="9"/>
      <c r="AA12" s="9"/>
      <c r="AB12" s="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</row>
    <row r="13" spans="1:48" s="36" customFormat="1" ht="13.5" customHeight="1">
      <c r="A13" s="101" t="s">
        <v>102</v>
      </c>
      <c r="B13" s="101"/>
      <c r="C13" s="102"/>
      <c r="D13" s="33">
        <f aca="true" t="shared" si="1" ref="D13:R13">D15+D17</f>
        <v>1339517210</v>
      </c>
      <c r="E13" s="33">
        <f t="shared" si="1"/>
        <v>2782187441</v>
      </c>
      <c r="F13" s="33">
        <f t="shared" si="1"/>
        <v>261421212</v>
      </c>
      <c r="G13" s="33">
        <f t="shared" si="1"/>
        <v>101219525</v>
      </c>
      <c r="H13" s="33">
        <f t="shared" si="1"/>
        <v>159123665</v>
      </c>
      <c r="I13" s="33">
        <f t="shared" si="1"/>
        <v>100882819</v>
      </c>
      <c r="J13" s="33">
        <f t="shared" si="1"/>
        <v>102437641</v>
      </c>
      <c r="K13" s="33">
        <f t="shared" si="1"/>
        <v>0</v>
      </c>
      <c r="L13" s="33">
        <f t="shared" si="1"/>
        <v>2396242369</v>
      </c>
      <c r="M13" s="33">
        <f t="shared" si="1"/>
        <v>653303405</v>
      </c>
      <c r="N13" s="33">
        <f t="shared" si="1"/>
        <v>11933059</v>
      </c>
      <c r="O13" s="33">
        <f t="shared" si="1"/>
        <v>132027960</v>
      </c>
      <c r="P13" s="33">
        <f t="shared" si="1"/>
        <v>1147589</v>
      </c>
      <c r="Q13" s="33">
        <f t="shared" si="1"/>
        <v>31203327</v>
      </c>
      <c r="R13" s="33">
        <f t="shared" si="1"/>
        <v>170762080</v>
      </c>
      <c r="S13" s="34" t="s">
        <v>86</v>
      </c>
      <c r="T13" s="35"/>
      <c r="U13" s="35"/>
      <c r="V13" s="35"/>
      <c r="W13" s="35"/>
      <c r="X13" s="35"/>
      <c r="Y13" s="35"/>
      <c r="Z13" s="35"/>
      <c r="AA13" s="35"/>
      <c r="AB13" s="35"/>
      <c r="AE13" s="33">
        <f aca="true" t="shared" si="2" ref="AE13:AV13">AE15+AE17</f>
        <v>261297220</v>
      </c>
      <c r="AF13" s="33">
        <f t="shared" si="2"/>
        <v>31169233</v>
      </c>
      <c r="AG13" s="33">
        <f t="shared" si="2"/>
        <v>2558537</v>
      </c>
      <c r="AH13" s="33">
        <f t="shared" si="2"/>
        <v>86775237</v>
      </c>
      <c r="AI13" s="33">
        <f t="shared" si="2"/>
        <v>263855757</v>
      </c>
      <c r="AJ13" s="33">
        <f t="shared" si="2"/>
        <v>117944470</v>
      </c>
      <c r="AK13" s="33">
        <f t="shared" si="2"/>
        <v>156647220</v>
      </c>
      <c r="AL13" s="33">
        <f t="shared" si="2"/>
        <v>6919457</v>
      </c>
      <c r="AM13" s="33">
        <f t="shared" si="2"/>
        <v>3399204</v>
      </c>
      <c r="AN13" s="33">
        <f t="shared" si="2"/>
        <v>113973687</v>
      </c>
      <c r="AO13" s="33">
        <f t="shared" si="2"/>
        <v>160046424</v>
      </c>
      <c r="AP13" s="33">
        <f t="shared" si="2"/>
        <v>120893144</v>
      </c>
      <c r="AQ13" s="33">
        <f t="shared" si="2"/>
        <v>652627940</v>
      </c>
      <c r="AR13" s="33">
        <f t="shared" si="2"/>
        <v>7781469</v>
      </c>
      <c r="AS13" s="33">
        <f t="shared" si="2"/>
        <v>614632</v>
      </c>
      <c r="AT13" s="33">
        <f t="shared" si="2"/>
        <v>4781385</v>
      </c>
      <c r="AU13" s="33">
        <f t="shared" si="2"/>
        <v>653242572</v>
      </c>
      <c r="AV13" s="33">
        <f t="shared" si="2"/>
        <v>12562854</v>
      </c>
    </row>
    <row r="14" spans="1:48" ht="7.5" customHeight="1">
      <c r="A14" s="32"/>
      <c r="B14" s="9"/>
      <c r="C14" s="28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  <c r="T14" s="39"/>
      <c r="U14" s="39"/>
      <c r="V14" s="39"/>
      <c r="W14" s="39"/>
      <c r="X14" s="39"/>
      <c r="Y14" s="39"/>
      <c r="Z14" s="39"/>
      <c r="AA14" s="39"/>
      <c r="AB14" s="39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</row>
    <row r="15" spans="1:48" s="36" customFormat="1" ht="12.75" customHeight="1">
      <c r="A15" s="100" t="s">
        <v>80</v>
      </c>
      <c r="B15" s="100"/>
      <c r="C15" s="40"/>
      <c r="D15" s="33">
        <f aca="true" t="shared" si="3" ref="D15:L15">SUM(D19:D22)</f>
        <v>296066348</v>
      </c>
      <c r="E15" s="33">
        <f t="shared" si="3"/>
        <v>2182570222</v>
      </c>
      <c r="F15" s="33">
        <f t="shared" si="3"/>
        <v>65656110</v>
      </c>
      <c r="G15" s="33">
        <f t="shared" si="3"/>
        <v>73816854</v>
      </c>
      <c r="H15" s="33">
        <f t="shared" si="3"/>
        <v>40333197</v>
      </c>
      <c r="I15" s="33">
        <f t="shared" si="3"/>
        <v>93395151</v>
      </c>
      <c r="J15" s="33">
        <f t="shared" si="3"/>
        <v>54170197</v>
      </c>
      <c r="K15" s="33"/>
      <c r="L15" s="33">
        <f t="shared" si="3"/>
        <v>1873586752</v>
      </c>
      <c r="M15" s="33">
        <f aca="true" t="shared" si="4" ref="M15:R15">SUM(M19:M22)</f>
        <v>74530513</v>
      </c>
      <c r="N15" s="33">
        <f t="shared" si="4"/>
        <v>5001515</v>
      </c>
      <c r="O15" s="33">
        <f t="shared" si="4"/>
        <v>50041286</v>
      </c>
      <c r="P15" s="33">
        <f t="shared" si="4"/>
        <v>506378</v>
      </c>
      <c r="Q15" s="33">
        <f t="shared" si="4"/>
        <v>11335045</v>
      </c>
      <c r="R15" s="33">
        <f t="shared" si="4"/>
        <v>136263572</v>
      </c>
      <c r="S15" s="85" t="s">
        <v>81</v>
      </c>
      <c r="T15" s="86"/>
      <c r="U15" s="41"/>
      <c r="V15" s="41"/>
      <c r="W15" s="41"/>
      <c r="X15" s="41"/>
      <c r="Y15" s="41"/>
      <c r="Z15" s="41"/>
      <c r="AA15" s="41"/>
      <c r="AB15" s="41"/>
      <c r="AE15" s="33">
        <f aca="true" t="shared" si="5" ref="AE15:AV15">SUM(AE19:AE22)</f>
        <v>63929681</v>
      </c>
      <c r="AF15" s="33">
        <f t="shared" si="5"/>
        <v>7718467</v>
      </c>
      <c r="AG15" s="33">
        <f t="shared" si="5"/>
        <v>2357967</v>
      </c>
      <c r="AH15" s="33">
        <f t="shared" si="5"/>
        <v>82276061</v>
      </c>
      <c r="AI15" s="33">
        <f t="shared" si="5"/>
        <v>66287648</v>
      </c>
      <c r="AJ15" s="33">
        <f t="shared" si="5"/>
        <v>89994528</v>
      </c>
      <c r="AK15" s="33">
        <f t="shared" si="5"/>
        <v>37467367</v>
      </c>
      <c r="AL15" s="33">
        <f t="shared" si="5"/>
        <v>2020025</v>
      </c>
      <c r="AM15" s="33">
        <f t="shared" si="5"/>
        <v>3280997</v>
      </c>
      <c r="AN15" s="33">
        <f t="shared" si="5"/>
        <v>111216460</v>
      </c>
      <c r="AO15" s="33">
        <f t="shared" si="5"/>
        <v>40748364</v>
      </c>
      <c r="AP15" s="33">
        <f t="shared" si="5"/>
        <v>113236485</v>
      </c>
      <c r="AQ15" s="33">
        <f t="shared" si="5"/>
        <v>74049701</v>
      </c>
      <c r="AR15" s="33">
        <f t="shared" si="5"/>
        <v>873275</v>
      </c>
      <c r="AS15" s="33">
        <f t="shared" si="5"/>
        <v>602156</v>
      </c>
      <c r="AT15" s="33">
        <f t="shared" si="5"/>
        <v>4777185</v>
      </c>
      <c r="AU15" s="33">
        <f t="shared" si="5"/>
        <v>74651857</v>
      </c>
      <c r="AV15" s="33">
        <f t="shared" si="5"/>
        <v>5650460</v>
      </c>
    </row>
    <row r="16" spans="1:48" ht="7.5" customHeight="1">
      <c r="A16" s="42"/>
      <c r="B16" s="43"/>
      <c r="C16" s="4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26"/>
      <c r="T16" s="27"/>
      <c r="U16" s="27"/>
      <c r="V16" s="27"/>
      <c r="W16" s="27"/>
      <c r="X16" s="27"/>
      <c r="Y16" s="27"/>
      <c r="Z16" s="27"/>
      <c r="AA16" s="27"/>
      <c r="AB16" s="2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</row>
    <row r="17" spans="1:48" s="36" customFormat="1" ht="12.75" customHeight="1">
      <c r="A17" s="100" t="s">
        <v>82</v>
      </c>
      <c r="B17" s="100"/>
      <c r="C17" s="40"/>
      <c r="D17" s="33">
        <f aca="true" t="shared" si="6" ref="D17:J17">D24+D30+D42+D48+D61+D73</f>
        <v>1043450862</v>
      </c>
      <c r="E17" s="33">
        <f t="shared" si="6"/>
        <v>599617219</v>
      </c>
      <c r="F17" s="33">
        <f t="shared" si="6"/>
        <v>195765102</v>
      </c>
      <c r="G17" s="33">
        <f t="shared" si="6"/>
        <v>27402671</v>
      </c>
      <c r="H17" s="33">
        <f t="shared" si="6"/>
        <v>118790468</v>
      </c>
      <c r="I17" s="33">
        <f t="shared" si="6"/>
        <v>7487668</v>
      </c>
      <c r="J17" s="33">
        <f t="shared" si="6"/>
        <v>48267444</v>
      </c>
      <c r="K17" s="33"/>
      <c r="L17" s="33">
        <f aca="true" t="shared" si="7" ref="L17:Q17">L24+L30+L42+L48+L61+L73</f>
        <v>522655617</v>
      </c>
      <c r="M17" s="33">
        <f t="shared" si="7"/>
        <v>578772892</v>
      </c>
      <c r="N17" s="33">
        <f t="shared" si="7"/>
        <v>6931544</v>
      </c>
      <c r="O17" s="33">
        <f t="shared" si="7"/>
        <v>81986674</v>
      </c>
      <c r="P17" s="33">
        <f t="shared" si="7"/>
        <v>641211</v>
      </c>
      <c r="Q17" s="33">
        <f t="shared" si="7"/>
        <v>19868282</v>
      </c>
      <c r="R17" s="33">
        <f>R24+R30+R42+R48+R61+R73</f>
        <v>34498508</v>
      </c>
      <c r="S17" s="85" t="s">
        <v>83</v>
      </c>
      <c r="T17" s="86"/>
      <c r="U17" s="41"/>
      <c r="V17" s="41"/>
      <c r="W17" s="41"/>
      <c r="X17" s="41"/>
      <c r="Y17" s="41"/>
      <c r="Z17" s="41"/>
      <c r="AA17" s="41"/>
      <c r="AB17" s="41"/>
      <c r="AE17" s="33">
        <f aca="true" t="shared" si="8" ref="AE17:AV17">AE24+AE30+AE42+AE48+AE61+AE73</f>
        <v>197367539</v>
      </c>
      <c r="AF17" s="33">
        <f t="shared" si="8"/>
        <v>23450766</v>
      </c>
      <c r="AG17" s="33">
        <f t="shared" si="8"/>
        <v>200570</v>
      </c>
      <c r="AH17" s="33">
        <f t="shared" si="8"/>
        <v>4499176</v>
      </c>
      <c r="AI17" s="33">
        <f t="shared" si="8"/>
        <v>197568109</v>
      </c>
      <c r="AJ17" s="33">
        <f t="shared" si="8"/>
        <v>27949942</v>
      </c>
      <c r="AK17" s="33">
        <f t="shared" si="8"/>
        <v>119179853</v>
      </c>
      <c r="AL17" s="33">
        <f t="shared" si="8"/>
        <v>4899432</v>
      </c>
      <c r="AM17" s="33">
        <f t="shared" si="8"/>
        <v>118207</v>
      </c>
      <c r="AN17" s="33">
        <f t="shared" si="8"/>
        <v>2757227</v>
      </c>
      <c r="AO17" s="33">
        <f t="shared" si="8"/>
        <v>119298060</v>
      </c>
      <c r="AP17" s="33">
        <f t="shared" si="8"/>
        <v>7656659</v>
      </c>
      <c r="AQ17" s="33">
        <f t="shared" si="8"/>
        <v>578578239</v>
      </c>
      <c r="AR17" s="33">
        <f t="shared" si="8"/>
        <v>6908194</v>
      </c>
      <c r="AS17" s="33">
        <f t="shared" si="8"/>
        <v>12476</v>
      </c>
      <c r="AT17" s="33">
        <f t="shared" si="8"/>
        <v>4200</v>
      </c>
      <c r="AU17" s="33">
        <f t="shared" si="8"/>
        <v>578590715</v>
      </c>
      <c r="AV17" s="33">
        <f t="shared" si="8"/>
        <v>6912394</v>
      </c>
    </row>
    <row r="18" spans="1:48" ht="7.5" customHeight="1">
      <c r="A18" s="45"/>
      <c r="B18" s="46"/>
      <c r="C18" s="4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47"/>
      <c r="T18" s="48"/>
      <c r="U18" s="48"/>
      <c r="V18" s="48"/>
      <c r="W18" s="48"/>
      <c r="X18" s="48"/>
      <c r="Y18" s="48"/>
      <c r="Z18" s="48"/>
      <c r="AA18" s="48"/>
      <c r="AB18" s="48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</row>
    <row r="19" spans="1:48" s="1" customFormat="1" ht="13.5" customHeight="1">
      <c r="A19" s="83" t="s">
        <v>90</v>
      </c>
      <c r="B19" s="46" t="s">
        <v>5</v>
      </c>
      <c r="C19" s="44"/>
      <c r="D19" s="29">
        <v>108019721</v>
      </c>
      <c r="E19" s="29">
        <v>1012746357</v>
      </c>
      <c r="F19" s="29">
        <f>24661735+1145386</f>
        <v>25807121</v>
      </c>
      <c r="G19" s="29">
        <f>2992725+35999028</f>
        <v>38991753</v>
      </c>
      <c r="H19" s="29">
        <f>6706520+915192</f>
        <v>7621712</v>
      </c>
      <c r="I19" s="29">
        <f>247258+37146975</f>
        <v>37394233</v>
      </c>
      <c r="J19" s="29">
        <v>18748885</v>
      </c>
      <c r="L19" s="29">
        <v>893141009</v>
      </c>
      <c r="M19" s="29">
        <v>30034169</v>
      </c>
      <c r="N19" s="29">
        <v>319152</v>
      </c>
      <c r="O19" s="29">
        <v>21367147</v>
      </c>
      <c r="P19" s="29">
        <v>110273</v>
      </c>
      <c r="Q19" s="29">
        <f>4371537+92+69058</f>
        <v>4440687</v>
      </c>
      <c r="R19" s="29">
        <f>42764129+25639+169</f>
        <v>42789937</v>
      </c>
      <c r="S19" s="30" t="s">
        <v>90</v>
      </c>
      <c r="T19" s="9"/>
      <c r="U19" s="9"/>
      <c r="V19" s="9"/>
      <c r="W19" s="9"/>
      <c r="X19" s="9"/>
      <c r="Y19" s="9"/>
      <c r="Z19" s="9"/>
      <c r="AA19" s="9"/>
      <c r="AB19" s="9"/>
      <c r="AD19" s="46" t="s">
        <v>5</v>
      </c>
      <c r="AE19" s="29">
        <v>24815786</v>
      </c>
      <c r="AF19" s="29">
        <v>3011751</v>
      </c>
      <c r="AG19" s="29">
        <v>1259652</v>
      </c>
      <c r="AH19" s="29">
        <v>43312381</v>
      </c>
      <c r="AI19" s="29">
        <f aca="true" t="shared" si="9" ref="AI19:AJ22">AE19+AG19</f>
        <v>26075438</v>
      </c>
      <c r="AJ19" s="29">
        <f t="shared" si="9"/>
        <v>46324132</v>
      </c>
      <c r="AK19" s="29">
        <v>6714468</v>
      </c>
      <c r="AL19" s="29">
        <v>247435</v>
      </c>
      <c r="AM19" s="29">
        <v>972920</v>
      </c>
      <c r="AN19" s="29">
        <v>43643834</v>
      </c>
      <c r="AO19" s="29">
        <f aca="true" t="shared" si="10" ref="AO19:AP22">AK19+AM19</f>
        <v>7687388</v>
      </c>
      <c r="AP19" s="29">
        <f t="shared" si="10"/>
        <v>43891269</v>
      </c>
      <c r="AQ19" s="29">
        <v>30060384</v>
      </c>
      <c r="AR19" s="29">
        <v>319137</v>
      </c>
      <c r="AS19" s="29">
        <v>0</v>
      </c>
      <c r="AT19" s="29"/>
      <c r="AU19" s="29">
        <f aca="true" t="shared" si="11" ref="AU19:AV22">AQ19+AS19</f>
        <v>30060384</v>
      </c>
      <c r="AV19" s="29">
        <f t="shared" si="11"/>
        <v>319137</v>
      </c>
    </row>
    <row r="20" spans="1:48" s="1" customFormat="1" ht="13.5" customHeight="1">
      <c r="A20" s="83" t="s">
        <v>91</v>
      </c>
      <c r="B20" s="46" t="s">
        <v>6</v>
      </c>
      <c r="C20" s="44"/>
      <c r="D20" s="29">
        <v>69892596</v>
      </c>
      <c r="E20" s="29">
        <v>778415118</v>
      </c>
      <c r="F20" s="29">
        <f>16701724+900816</f>
        <v>17602540</v>
      </c>
      <c r="G20" s="29">
        <f>2079173+28862015</f>
        <v>30941188</v>
      </c>
      <c r="H20" s="29">
        <f>13228030+1265464</f>
        <v>14493494</v>
      </c>
      <c r="I20" s="29">
        <f>885737+35722164</f>
        <v>36607901</v>
      </c>
      <c r="J20" s="29">
        <v>20639750</v>
      </c>
      <c r="L20" s="29">
        <v>649915558</v>
      </c>
      <c r="M20" s="29">
        <f>10988434+342968</f>
        <v>11331402</v>
      </c>
      <c r="N20" s="29">
        <f>137120+3282022</f>
        <v>3419142</v>
      </c>
      <c r="O20" s="29">
        <v>2227115</v>
      </c>
      <c r="P20" s="29">
        <v>71776</v>
      </c>
      <c r="Q20" s="29">
        <f>3571787+63+20533+5912</f>
        <v>3598295</v>
      </c>
      <c r="R20" s="29">
        <f>57368083+88495+2822+153</f>
        <v>57459553</v>
      </c>
      <c r="S20" s="30" t="s">
        <v>91</v>
      </c>
      <c r="T20" s="9"/>
      <c r="U20" s="9"/>
      <c r="V20" s="9"/>
      <c r="W20" s="9"/>
      <c r="X20" s="9"/>
      <c r="Y20" s="9"/>
      <c r="Z20" s="9"/>
      <c r="AA20" s="9"/>
      <c r="AB20" s="9"/>
      <c r="AD20" s="46" t="s">
        <v>6</v>
      </c>
      <c r="AE20" s="29">
        <v>16819395</v>
      </c>
      <c r="AF20" s="29">
        <v>2093662</v>
      </c>
      <c r="AG20" s="29">
        <v>976056</v>
      </c>
      <c r="AH20" s="29">
        <v>36713402</v>
      </c>
      <c r="AI20" s="29">
        <f t="shared" si="9"/>
        <v>17795451</v>
      </c>
      <c r="AJ20" s="29">
        <f t="shared" si="9"/>
        <v>38807064</v>
      </c>
      <c r="AK20" s="29">
        <v>13292633</v>
      </c>
      <c r="AL20" s="29">
        <v>889768</v>
      </c>
      <c r="AM20" s="29">
        <v>1373426</v>
      </c>
      <c r="AN20" s="29">
        <v>44978275</v>
      </c>
      <c r="AO20" s="29">
        <f t="shared" si="10"/>
        <v>14666059</v>
      </c>
      <c r="AP20" s="29">
        <f t="shared" si="10"/>
        <v>45868043</v>
      </c>
      <c r="AQ20" s="29">
        <v>11041424</v>
      </c>
      <c r="AR20" s="29">
        <v>138338</v>
      </c>
      <c r="AS20" s="29">
        <v>373180</v>
      </c>
      <c r="AT20" s="29">
        <v>4033949</v>
      </c>
      <c r="AU20" s="29">
        <f t="shared" si="11"/>
        <v>11414604</v>
      </c>
      <c r="AV20" s="29">
        <f t="shared" si="11"/>
        <v>4172287</v>
      </c>
    </row>
    <row r="21" spans="1:48" s="1" customFormat="1" ht="13.5" customHeight="1">
      <c r="A21" s="83" t="s">
        <v>92</v>
      </c>
      <c r="B21" s="46" t="s">
        <v>7</v>
      </c>
      <c r="C21" s="50"/>
      <c r="D21" s="29">
        <v>103019430</v>
      </c>
      <c r="E21" s="29">
        <v>213393922</v>
      </c>
      <c r="F21" s="29">
        <f>20951998+16246</f>
        <v>20968244</v>
      </c>
      <c r="G21" s="29">
        <f>2504644+163765</f>
        <v>2668409</v>
      </c>
      <c r="H21" s="29">
        <f>12326058+20447</f>
        <v>12346505</v>
      </c>
      <c r="I21" s="29">
        <f>602076+238412</f>
        <v>840488</v>
      </c>
      <c r="J21" s="29">
        <v>8213541</v>
      </c>
      <c r="L21" s="29">
        <v>186864543</v>
      </c>
      <c r="M21" s="29">
        <v>32928228</v>
      </c>
      <c r="N21" s="29">
        <v>415293</v>
      </c>
      <c r="O21" s="29">
        <v>26418414</v>
      </c>
      <c r="P21" s="29">
        <v>147726</v>
      </c>
      <c r="Q21" s="29">
        <f>2117264+27234</f>
        <v>2144498</v>
      </c>
      <c r="R21" s="29">
        <f>22456833+630</f>
        <v>22457463</v>
      </c>
      <c r="S21" s="30" t="s">
        <v>92</v>
      </c>
      <c r="T21" s="9"/>
      <c r="U21" s="9"/>
      <c r="V21" s="9"/>
      <c r="W21" s="9"/>
      <c r="X21" s="9"/>
      <c r="Y21" s="9"/>
      <c r="Z21" s="9"/>
      <c r="AA21" s="9"/>
      <c r="AB21" s="9"/>
      <c r="AD21" s="46" t="s">
        <v>7</v>
      </c>
      <c r="AE21" s="29">
        <v>21078072</v>
      </c>
      <c r="AF21" s="29">
        <v>2519789</v>
      </c>
      <c r="AG21" s="29">
        <v>26605</v>
      </c>
      <c r="AH21" s="29">
        <v>382028</v>
      </c>
      <c r="AI21" s="29">
        <f t="shared" si="9"/>
        <v>21104677</v>
      </c>
      <c r="AJ21" s="29">
        <f t="shared" si="9"/>
        <v>2901817</v>
      </c>
      <c r="AK21" s="29">
        <v>12417539</v>
      </c>
      <c r="AL21" s="29">
        <v>607129</v>
      </c>
      <c r="AM21" s="29">
        <v>25192</v>
      </c>
      <c r="AN21" s="29">
        <v>372594</v>
      </c>
      <c r="AO21" s="29">
        <f t="shared" si="10"/>
        <v>12442731</v>
      </c>
      <c r="AP21" s="29">
        <f t="shared" si="10"/>
        <v>979723</v>
      </c>
      <c r="AQ21" s="29">
        <v>32947893</v>
      </c>
      <c r="AR21" s="29">
        <v>415800</v>
      </c>
      <c r="AS21" s="29">
        <v>0</v>
      </c>
      <c r="AT21" s="29"/>
      <c r="AU21" s="29">
        <f t="shared" si="11"/>
        <v>32947893</v>
      </c>
      <c r="AV21" s="29">
        <f t="shared" si="11"/>
        <v>415800</v>
      </c>
    </row>
    <row r="22" spans="1:48" s="1" customFormat="1" ht="13.5" customHeight="1">
      <c r="A22" s="83" t="s">
        <v>93</v>
      </c>
      <c r="B22" s="46" t="s">
        <v>8</v>
      </c>
      <c r="C22" s="44"/>
      <c r="D22" s="29">
        <v>15134601</v>
      </c>
      <c r="E22" s="29">
        <v>178014825</v>
      </c>
      <c r="F22" s="29">
        <f>1210331+67874</f>
        <v>1278205</v>
      </c>
      <c r="G22" s="29">
        <f>92785+1122719</f>
        <v>1215504</v>
      </c>
      <c r="H22" s="29">
        <f>5027631+843855</f>
        <v>5871486</v>
      </c>
      <c r="I22" s="29">
        <f>274948+18277581</f>
        <v>18552529</v>
      </c>
      <c r="J22" s="29">
        <v>6568021</v>
      </c>
      <c r="L22" s="29">
        <v>143665642</v>
      </c>
      <c r="M22" s="29">
        <v>236714</v>
      </c>
      <c r="N22" s="29">
        <v>847928</v>
      </c>
      <c r="O22" s="29">
        <v>28610</v>
      </c>
      <c r="P22" s="29">
        <v>176603</v>
      </c>
      <c r="Q22" s="29">
        <v>1151565</v>
      </c>
      <c r="R22" s="29">
        <v>13556619</v>
      </c>
      <c r="S22" s="30" t="s">
        <v>93</v>
      </c>
      <c r="T22" s="9"/>
      <c r="U22" s="9"/>
      <c r="V22" s="9"/>
      <c r="W22" s="9"/>
      <c r="X22" s="9"/>
      <c r="Y22" s="9"/>
      <c r="Z22" s="9"/>
      <c r="AA22" s="9"/>
      <c r="AB22" s="9"/>
      <c r="AD22" s="46" t="s">
        <v>8</v>
      </c>
      <c r="AE22" s="29">
        <v>1216428</v>
      </c>
      <c r="AF22" s="29">
        <v>93265</v>
      </c>
      <c r="AG22" s="29">
        <v>95654</v>
      </c>
      <c r="AH22" s="29">
        <v>1868250</v>
      </c>
      <c r="AI22" s="29">
        <f t="shared" si="9"/>
        <v>1312082</v>
      </c>
      <c r="AJ22" s="29">
        <f t="shared" si="9"/>
        <v>1961515</v>
      </c>
      <c r="AK22" s="29">
        <v>5042727</v>
      </c>
      <c r="AL22" s="29">
        <v>275693</v>
      </c>
      <c r="AM22" s="29">
        <v>909459</v>
      </c>
      <c r="AN22" s="29">
        <v>22221757</v>
      </c>
      <c r="AO22" s="29">
        <f t="shared" si="10"/>
        <v>5952186</v>
      </c>
      <c r="AP22" s="29">
        <f t="shared" si="10"/>
        <v>22497450</v>
      </c>
      <c r="AQ22" s="29">
        <v>0</v>
      </c>
      <c r="AR22" s="29">
        <v>0</v>
      </c>
      <c r="AS22" s="29">
        <v>228976</v>
      </c>
      <c r="AT22" s="29">
        <v>743236</v>
      </c>
      <c r="AU22" s="29">
        <f t="shared" si="11"/>
        <v>228976</v>
      </c>
      <c r="AV22" s="29">
        <f t="shared" si="11"/>
        <v>743236</v>
      </c>
    </row>
    <row r="23" spans="1:48" ht="8.25" customHeight="1">
      <c r="A23" s="79"/>
      <c r="B23" s="16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75"/>
      <c r="T23" s="51"/>
      <c r="U23" s="51"/>
      <c r="V23" s="51"/>
      <c r="W23" s="51"/>
      <c r="X23" s="51"/>
      <c r="Y23" s="51"/>
      <c r="Z23" s="51"/>
      <c r="AA23" s="51"/>
      <c r="AB23" s="51"/>
      <c r="AD23" s="16"/>
      <c r="AE23" s="53"/>
      <c r="AF23" s="53"/>
      <c r="AG23" s="53"/>
      <c r="AH23" s="53"/>
      <c r="AI23" s="29"/>
      <c r="AJ23" s="29"/>
      <c r="AK23" s="53"/>
      <c r="AL23" s="53"/>
      <c r="AM23" s="53"/>
      <c r="AN23" s="53"/>
      <c r="AO23" s="29"/>
      <c r="AP23" s="29"/>
      <c r="AQ23" s="53"/>
      <c r="AR23" s="53"/>
      <c r="AS23" s="53"/>
      <c r="AT23" s="53"/>
      <c r="AU23" s="29"/>
      <c r="AV23" s="29"/>
    </row>
    <row r="24" spans="1:48" s="36" customFormat="1" ht="12.75" customHeight="1">
      <c r="A24" s="80" t="s">
        <v>9</v>
      </c>
      <c r="B24" s="55" t="s">
        <v>10</v>
      </c>
      <c r="C24" s="40"/>
      <c r="D24" s="33">
        <f aca="true" t="shared" si="12" ref="D24:J24">SUM(D26:D28)</f>
        <v>106258202</v>
      </c>
      <c r="E24" s="33">
        <f t="shared" si="12"/>
        <v>79525252</v>
      </c>
      <c r="F24" s="33">
        <f t="shared" si="12"/>
        <v>19145321</v>
      </c>
      <c r="G24" s="33">
        <f t="shared" si="12"/>
        <v>4522876</v>
      </c>
      <c r="H24" s="33">
        <f t="shared" si="12"/>
        <v>7292661</v>
      </c>
      <c r="I24" s="33">
        <f t="shared" si="12"/>
        <v>2229939</v>
      </c>
      <c r="J24" s="33">
        <f t="shared" si="12"/>
        <v>4024714</v>
      </c>
      <c r="K24" s="33"/>
      <c r="L24" s="33">
        <f aca="true" t="shared" si="13" ref="L24:R24">SUM(L26:L28)</f>
        <v>67484638</v>
      </c>
      <c r="M24" s="33">
        <f t="shared" si="13"/>
        <v>71979031</v>
      </c>
      <c r="N24" s="33">
        <f t="shared" si="13"/>
        <v>647300</v>
      </c>
      <c r="O24" s="33">
        <f t="shared" si="13"/>
        <v>1763616</v>
      </c>
      <c r="P24" s="33">
        <f t="shared" si="13"/>
        <v>8986</v>
      </c>
      <c r="Q24" s="33">
        <f t="shared" si="13"/>
        <v>2052859</v>
      </c>
      <c r="R24" s="33">
        <f t="shared" si="13"/>
        <v>4631513</v>
      </c>
      <c r="S24" s="34" t="s">
        <v>9</v>
      </c>
      <c r="T24" s="35"/>
      <c r="U24" s="35"/>
      <c r="V24" s="35"/>
      <c r="W24" s="35"/>
      <c r="X24" s="35"/>
      <c r="Y24" s="35"/>
      <c r="Z24" s="35"/>
      <c r="AA24" s="35"/>
      <c r="AB24" s="35"/>
      <c r="AD24" s="55" t="s">
        <v>10</v>
      </c>
      <c r="AE24" s="33">
        <f>SUM(AE26:AE28)</f>
        <v>19285737</v>
      </c>
      <c r="AF24" s="33">
        <f>SUM(AF26:AF28)</f>
        <v>2194562</v>
      </c>
      <c r="AG24" s="33">
        <f>SUM(AG26:AG28)</f>
        <v>70646</v>
      </c>
      <c r="AH24" s="33">
        <f>SUM(AH26:AH28)</f>
        <v>2654632</v>
      </c>
      <c r="AI24" s="29">
        <f aca="true" t="shared" si="14" ref="AI24:AJ28">AE24+AG24</f>
        <v>19356383</v>
      </c>
      <c r="AJ24" s="29">
        <f t="shared" si="14"/>
        <v>4849194</v>
      </c>
      <c r="AK24" s="33">
        <f>SUM(AK26:AK28)</f>
        <v>7343311</v>
      </c>
      <c r="AL24" s="33">
        <f>SUM(AL26:AL28)</f>
        <v>265456</v>
      </c>
      <c r="AM24" s="33">
        <f>SUM(AM26:AM28)</f>
        <v>54119</v>
      </c>
      <c r="AN24" s="33">
        <f>SUM(AN26:AN28)</f>
        <v>2156094</v>
      </c>
      <c r="AO24" s="29">
        <f>AK24+AM24</f>
        <v>7397430</v>
      </c>
      <c r="AP24" s="33">
        <f>SUM(AP26:AP28)</f>
        <v>2421550</v>
      </c>
      <c r="AQ24" s="33">
        <f>SUM(AQ26:AQ28)</f>
        <v>72712920</v>
      </c>
      <c r="AR24" s="33">
        <f>SUM(AR26:AR28)</f>
        <v>654545</v>
      </c>
      <c r="AS24" s="33">
        <f>SUM(AS26:AS28)</f>
        <v>0</v>
      </c>
      <c r="AT24" s="33">
        <f>SUM(AT26:AT28)</f>
        <v>0</v>
      </c>
      <c r="AU24" s="29">
        <f>AQ24+AS24</f>
        <v>72712920</v>
      </c>
      <c r="AV24" s="33">
        <f>SUM(AV26:AV28)</f>
        <v>654545</v>
      </c>
    </row>
    <row r="25" spans="1:48" ht="8.25" customHeight="1">
      <c r="A25" s="81"/>
      <c r="B25" s="45"/>
      <c r="C25" s="5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76"/>
      <c r="T25" s="51"/>
      <c r="U25" s="51"/>
      <c r="V25" s="51"/>
      <c r="W25" s="51"/>
      <c r="X25" s="51"/>
      <c r="Y25" s="51"/>
      <c r="Z25" s="51"/>
      <c r="AA25" s="51"/>
      <c r="AB25" s="51"/>
      <c r="AD25" s="45"/>
      <c r="AE25" s="37"/>
      <c r="AF25" s="37"/>
      <c r="AG25" s="37"/>
      <c r="AH25" s="37"/>
      <c r="AI25" s="29">
        <f t="shared" si="14"/>
        <v>0</v>
      </c>
      <c r="AJ25" s="29">
        <f t="shared" si="14"/>
        <v>0</v>
      </c>
      <c r="AK25" s="37"/>
      <c r="AL25" s="37"/>
      <c r="AM25" s="37"/>
      <c r="AN25" s="37"/>
      <c r="AO25" s="29">
        <f>AK25+AM25</f>
        <v>0</v>
      </c>
      <c r="AP25" s="29"/>
      <c r="AQ25" s="37"/>
      <c r="AR25" s="37"/>
      <c r="AS25" s="37"/>
      <c r="AT25" s="37"/>
      <c r="AU25" s="29">
        <f>AQ25+AS25</f>
        <v>0</v>
      </c>
      <c r="AV25" s="29">
        <f>AR25+AT25</f>
        <v>0</v>
      </c>
    </row>
    <row r="26" spans="1:48" s="1" customFormat="1" ht="13.5" customHeight="1">
      <c r="A26" s="83" t="s">
        <v>94</v>
      </c>
      <c r="B26" s="46" t="s">
        <v>11</v>
      </c>
      <c r="C26" s="44"/>
      <c r="D26" s="29">
        <v>34430692</v>
      </c>
      <c r="E26" s="29">
        <v>33006592</v>
      </c>
      <c r="F26" s="29">
        <f>7614576+63482</f>
        <v>7678058</v>
      </c>
      <c r="G26" s="29">
        <f>1027000+2312670</f>
        <v>3339670</v>
      </c>
      <c r="H26" s="29">
        <f>1508493+51703</f>
        <v>1560196</v>
      </c>
      <c r="I26" s="29">
        <f>67044+1966951</f>
        <v>2033995</v>
      </c>
      <c r="J26" s="29">
        <v>1256022</v>
      </c>
      <c r="K26" s="29"/>
      <c r="L26" s="29">
        <v>25150450</v>
      </c>
      <c r="M26" s="29">
        <v>22709355</v>
      </c>
      <c r="N26" s="29">
        <v>241757</v>
      </c>
      <c r="O26" s="29">
        <v>675249</v>
      </c>
      <c r="P26" s="29">
        <v>2828</v>
      </c>
      <c r="Q26" s="29">
        <v>551812</v>
      </c>
      <c r="R26" s="29">
        <v>2237892</v>
      </c>
      <c r="S26" s="30" t="s">
        <v>94</v>
      </c>
      <c r="T26" s="9"/>
      <c r="U26" s="9"/>
      <c r="V26" s="9"/>
      <c r="W26" s="9"/>
      <c r="X26" s="9"/>
      <c r="Y26" s="9"/>
      <c r="Z26" s="9"/>
      <c r="AA26" s="9"/>
      <c r="AB26" s="9"/>
      <c r="AD26" s="46" t="s">
        <v>11</v>
      </c>
      <c r="AE26" s="29">
        <v>7709896</v>
      </c>
      <c r="AF26" s="29">
        <v>1002665</v>
      </c>
      <c r="AG26" s="29">
        <v>70646</v>
      </c>
      <c r="AH26" s="29">
        <v>2654632</v>
      </c>
      <c r="AI26" s="29">
        <f t="shared" si="14"/>
        <v>7780542</v>
      </c>
      <c r="AJ26" s="29">
        <f t="shared" si="14"/>
        <v>3657297</v>
      </c>
      <c r="AK26" s="29">
        <v>1526777</v>
      </c>
      <c r="AL26" s="29">
        <v>67051</v>
      </c>
      <c r="AM26" s="29">
        <v>54119</v>
      </c>
      <c r="AN26" s="29">
        <v>2156094</v>
      </c>
      <c r="AO26" s="29">
        <f>AK26+AM26</f>
        <v>1580896</v>
      </c>
      <c r="AP26" s="29">
        <f>AL26+AN26</f>
        <v>2223145</v>
      </c>
      <c r="AQ26" s="29">
        <v>23497138</v>
      </c>
      <c r="AR26" s="29">
        <v>250195</v>
      </c>
      <c r="AS26" s="29"/>
      <c r="AT26" s="29"/>
      <c r="AU26" s="29">
        <f>AQ26+AS26</f>
        <v>23497138</v>
      </c>
      <c r="AV26" s="29">
        <f>AR26+AT26</f>
        <v>250195</v>
      </c>
    </row>
    <row r="27" spans="1:48" s="1" customFormat="1" ht="13.5" customHeight="1">
      <c r="A27" s="83" t="s">
        <v>95</v>
      </c>
      <c r="B27" s="46" t="s">
        <v>12</v>
      </c>
      <c r="C27" s="44"/>
      <c r="D27" s="29">
        <v>51665788</v>
      </c>
      <c r="E27" s="29">
        <v>35846011</v>
      </c>
      <c r="F27" s="29">
        <v>9207889</v>
      </c>
      <c r="G27" s="29">
        <v>969906</v>
      </c>
      <c r="H27" s="29">
        <v>2328227</v>
      </c>
      <c r="I27" s="29">
        <v>85661</v>
      </c>
      <c r="J27" s="29">
        <v>2122791</v>
      </c>
      <c r="K27" s="29"/>
      <c r="L27" s="29">
        <v>32303605</v>
      </c>
      <c r="M27" s="29">
        <v>36068381</v>
      </c>
      <c r="N27" s="29">
        <v>254810</v>
      </c>
      <c r="O27" s="29">
        <v>984145</v>
      </c>
      <c r="P27" s="29">
        <v>4967</v>
      </c>
      <c r="Q27" s="29">
        <f>929204+40+25111</f>
        <v>954355</v>
      </c>
      <c r="R27" s="29">
        <f>2211997+11968+3097</f>
        <v>2227062</v>
      </c>
      <c r="S27" s="30" t="s">
        <v>95</v>
      </c>
      <c r="T27" s="9"/>
      <c r="U27" s="9"/>
      <c r="V27" s="9"/>
      <c r="W27" s="9"/>
      <c r="X27" s="9"/>
      <c r="Y27" s="9"/>
      <c r="Z27" s="9"/>
      <c r="AA27" s="9"/>
      <c r="AB27" s="9"/>
      <c r="AD27" s="46" t="s">
        <v>12</v>
      </c>
      <c r="AE27" s="29">
        <v>9272694</v>
      </c>
      <c r="AF27" s="29">
        <v>974619</v>
      </c>
      <c r="AG27" s="29">
        <v>0</v>
      </c>
      <c r="AH27" s="29">
        <v>0</v>
      </c>
      <c r="AI27" s="29">
        <f t="shared" si="14"/>
        <v>9272694</v>
      </c>
      <c r="AJ27" s="29">
        <f t="shared" si="14"/>
        <v>974619</v>
      </c>
      <c r="AK27" s="29">
        <v>2348542</v>
      </c>
      <c r="AL27" s="29">
        <v>86350</v>
      </c>
      <c r="AM27" s="29">
        <v>0</v>
      </c>
      <c r="AN27" s="29">
        <v>0</v>
      </c>
      <c r="AO27" s="29">
        <f>AK27+AM27</f>
        <v>2348542</v>
      </c>
      <c r="AP27" s="29">
        <f>AL27+AN27</f>
        <v>86350</v>
      </c>
      <c r="AQ27" s="29">
        <v>36192245</v>
      </c>
      <c r="AR27" s="29">
        <v>256029</v>
      </c>
      <c r="AS27" s="29"/>
      <c r="AT27" s="29"/>
      <c r="AU27" s="29">
        <f>AQ27+AS27</f>
        <v>36192245</v>
      </c>
      <c r="AV27" s="29">
        <f>AR27+AT27</f>
        <v>256029</v>
      </c>
    </row>
    <row r="28" spans="1:48" s="1" customFormat="1" ht="13.5" customHeight="1">
      <c r="A28" s="83" t="s">
        <v>96</v>
      </c>
      <c r="B28" s="46" t="s">
        <v>13</v>
      </c>
      <c r="C28" s="44"/>
      <c r="D28" s="29">
        <v>20161722</v>
      </c>
      <c r="E28" s="29">
        <v>10672649</v>
      </c>
      <c r="F28" s="29">
        <v>2259374</v>
      </c>
      <c r="G28" s="29">
        <v>213300</v>
      </c>
      <c r="H28" s="29">
        <v>3404238</v>
      </c>
      <c r="I28" s="29">
        <v>110283</v>
      </c>
      <c r="J28" s="29">
        <v>645901</v>
      </c>
      <c r="K28" s="29"/>
      <c r="L28" s="29">
        <v>10030583</v>
      </c>
      <c r="M28" s="29">
        <v>13201295</v>
      </c>
      <c r="N28" s="29">
        <v>150733</v>
      </c>
      <c r="O28" s="29">
        <v>104222</v>
      </c>
      <c r="P28" s="29">
        <v>1191</v>
      </c>
      <c r="Q28" s="29">
        <f>537851+8841</f>
        <v>546692</v>
      </c>
      <c r="R28" s="29">
        <f>166528+31</f>
        <v>166559</v>
      </c>
      <c r="S28" s="30" t="s">
        <v>96</v>
      </c>
      <c r="T28" s="9"/>
      <c r="U28" s="9"/>
      <c r="V28" s="9"/>
      <c r="W28" s="9"/>
      <c r="X28" s="9"/>
      <c r="Y28" s="9"/>
      <c r="Z28" s="9"/>
      <c r="AA28" s="9"/>
      <c r="AB28" s="9"/>
      <c r="AD28" s="46" t="s">
        <v>13</v>
      </c>
      <c r="AE28" s="29">
        <v>2303147</v>
      </c>
      <c r="AF28" s="29">
        <v>217278</v>
      </c>
      <c r="AG28" s="29">
        <v>0</v>
      </c>
      <c r="AH28" s="29">
        <v>0</v>
      </c>
      <c r="AI28" s="29">
        <f t="shared" si="14"/>
        <v>2303147</v>
      </c>
      <c r="AJ28" s="29">
        <f t="shared" si="14"/>
        <v>217278</v>
      </c>
      <c r="AK28" s="29">
        <v>3467992</v>
      </c>
      <c r="AL28" s="29">
        <v>112055</v>
      </c>
      <c r="AM28" s="29">
        <v>0</v>
      </c>
      <c r="AN28" s="29">
        <v>0</v>
      </c>
      <c r="AO28" s="29">
        <f>AK28+AM28</f>
        <v>3467992</v>
      </c>
      <c r="AP28" s="29">
        <f>AL28+AN28</f>
        <v>112055</v>
      </c>
      <c r="AQ28" s="29">
        <v>13023537</v>
      </c>
      <c r="AR28" s="29">
        <v>148321</v>
      </c>
      <c r="AS28" s="29"/>
      <c r="AT28" s="29"/>
      <c r="AU28" s="29">
        <f>AQ28+AS28</f>
        <v>13023537</v>
      </c>
      <c r="AV28" s="29">
        <f>AR28+AT28</f>
        <v>148321</v>
      </c>
    </row>
    <row r="29" spans="1:48" s="1" customFormat="1" ht="8.25" customHeight="1">
      <c r="A29" s="78"/>
      <c r="B29" s="46"/>
      <c r="C29" s="44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74"/>
      <c r="T29" s="9"/>
      <c r="U29" s="9"/>
      <c r="V29" s="9"/>
      <c r="W29" s="9"/>
      <c r="X29" s="9"/>
      <c r="Y29" s="9"/>
      <c r="Z29" s="9"/>
      <c r="AA29" s="9"/>
      <c r="AB29" s="9"/>
      <c r="AD29" s="46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</row>
    <row r="30" spans="1:48" s="36" customFormat="1" ht="12.75" customHeight="1">
      <c r="A30" s="80" t="s">
        <v>14</v>
      </c>
      <c r="B30" s="55" t="s">
        <v>15</v>
      </c>
      <c r="C30" s="40"/>
      <c r="D30" s="33">
        <f aca="true" t="shared" si="15" ref="D30:J30">SUM(D32:D40)</f>
        <v>177071789</v>
      </c>
      <c r="E30" s="33">
        <f t="shared" si="15"/>
        <v>97899050</v>
      </c>
      <c r="F30" s="33">
        <f t="shared" si="15"/>
        <v>36076559</v>
      </c>
      <c r="G30" s="33">
        <f t="shared" si="15"/>
        <v>4517896</v>
      </c>
      <c r="H30" s="33">
        <f t="shared" si="15"/>
        <v>16975951</v>
      </c>
      <c r="I30" s="33">
        <f t="shared" si="15"/>
        <v>688887</v>
      </c>
      <c r="J30" s="33">
        <f t="shared" si="15"/>
        <v>8166964</v>
      </c>
      <c r="K30" s="33"/>
      <c r="L30" s="33">
        <f aca="true" t="shared" si="16" ref="L30:Q30">SUM(L32:L40)</f>
        <v>89051276</v>
      </c>
      <c r="M30" s="33">
        <f t="shared" si="16"/>
        <v>94024182</v>
      </c>
      <c r="N30" s="33">
        <f t="shared" si="16"/>
        <v>1525969</v>
      </c>
      <c r="O30" s="33">
        <f t="shared" si="16"/>
        <v>19202435</v>
      </c>
      <c r="P30" s="33">
        <f t="shared" si="16"/>
        <v>101253</v>
      </c>
      <c r="Q30" s="33">
        <f t="shared" si="16"/>
        <v>2625698</v>
      </c>
      <c r="R30" s="33">
        <f>SUM(R32:R40)</f>
        <v>2013769</v>
      </c>
      <c r="S30" s="34" t="s">
        <v>14</v>
      </c>
      <c r="T30" s="35"/>
      <c r="U30" s="35"/>
      <c r="V30" s="35"/>
      <c r="W30" s="35"/>
      <c r="X30" s="35"/>
      <c r="Y30" s="35"/>
      <c r="Z30" s="35"/>
      <c r="AA30" s="35"/>
      <c r="AB30" s="35"/>
      <c r="AD30" s="55" t="s">
        <v>15</v>
      </c>
      <c r="AE30" s="33">
        <f>SUM(AE32:AE40)</f>
        <v>36522220</v>
      </c>
      <c r="AF30" s="33">
        <f>SUM(AF32:AF40)</f>
        <v>4586856</v>
      </c>
      <c r="AG30" s="33">
        <f>SUM(AG32:AG40)</f>
        <v>11544</v>
      </c>
      <c r="AH30" s="33">
        <f>SUM(AH32:AH40)</f>
        <v>73288</v>
      </c>
      <c r="AI30" s="29">
        <f>AE30+AG30</f>
        <v>36533764</v>
      </c>
      <c r="AJ30" s="29">
        <f>AF30+AH30</f>
        <v>4660144</v>
      </c>
      <c r="AK30" s="33">
        <f>SUM(AK32:AK40)</f>
        <v>16872682</v>
      </c>
      <c r="AL30" s="33">
        <f>SUM(AL32:AL40)</f>
        <v>670920</v>
      </c>
      <c r="AM30" s="33">
        <f>SUM(AM32:AM40)</f>
        <v>1728</v>
      </c>
      <c r="AN30" s="33">
        <f>SUM(AN32:AN40)</f>
        <v>14294</v>
      </c>
      <c r="AO30" s="29">
        <f>AK30+AM30</f>
        <v>16874410</v>
      </c>
      <c r="AP30" s="29">
        <f>AL30+AN30</f>
        <v>685214</v>
      </c>
      <c r="AQ30" s="33">
        <f>SUM(AQ32:AQ40)</f>
        <v>91965398</v>
      </c>
      <c r="AR30" s="33">
        <f>SUM(AR32:AR40)</f>
        <v>1489037</v>
      </c>
      <c r="AS30" s="33">
        <f>SUM(AS32:AS40)</f>
        <v>0</v>
      </c>
      <c r="AT30" s="33">
        <f>SUM(AT32:AT40)</f>
        <v>0</v>
      </c>
      <c r="AU30" s="29">
        <f>AQ30+AS30</f>
        <v>91965398</v>
      </c>
      <c r="AV30" s="29">
        <f>AR30+AT30</f>
        <v>1489037</v>
      </c>
    </row>
    <row r="31" spans="1:48" s="1" customFormat="1" ht="8.25" customHeight="1">
      <c r="A31" s="82"/>
      <c r="B31" s="59"/>
      <c r="C31" s="60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77"/>
      <c r="T31" s="9"/>
      <c r="U31" s="9"/>
      <c r="V31" s="9"/>
      <c r="W31" s="9"/>
      <c r="X31" s="9"/>
      <c r="Y31" s="9"/>
      <c r="Z31" s="9"/>
      <c r="AA31" s="9"/>
      <c r="AB31" s="9"/>
      <c r="AD31" s="59"/>
      <c r="AE31" s="61"/>
      <c r="AF31" s="61"/>
      <c r="AG31" s="61"/>
      <c r="AH31" s="61"/>
      <c r="AI31" s="29"/>
      <c r="AJ31" s="29"/>
      <c r="AK31" s="61"/>
      <c r="AL31" s="61"/>
      <c r="AM31" s="61"/>
      <c r="AN31" s="61"/>
      <c r="AO31" s="29"/>
      <c r="AP31" s="29"/>
      <c r="AQ31" s="61"/>
      <c r="AR31" s="61"/>
      <c r="AS31" s="61"/>
      <c r="AT31" s="61"/>
      <c r="AU31" s="29"/>
      <c r="AV31" s="29"/>
    </row>
    <row r="32" spans="1:48" s="1" customFormat="1" ht="13.5" customHeight="1">
      <c r="A32" s="83" t="s">
        <v>97</v>
      </c>
      <c r="B32" s="46" t="s">
        <v>16</v>
      </c>
      <c r="C32" s="44"/>
      <c r="D32" s="29">
        <v>26590310</v>
      </c>
      <c r="E32" s="29">
        <v>27592616</v>
      </c>
      <c r="F32" s="29">
        <v>7443392</v>
      </c>
      <c r="G32" s="29">
        <v>1033226</v>
      </c>
      <c r="H32" s="29">
        <v>2796784</v>
      </c>
      <c r="I32" s="29">
        <v>162589</v>
      </c>
      <c r="J32" s="29">
        <v>1629800</v>
      </c>
      <c r="K32" s="29"/>
      <c r="L32" s="29">
        <v>25217374</v>
      </c>
      <c r="M32" s="29">
        <v>9306260</v>
      </c>
      <c r="N32" s="29">
        <v>138553</v>
      </c>
      <c r="O32" s="29">
        <v>5000142</v>
      </c>
      <c r="P32" s="29">
        <v>12849</v>
      </c>
      <c r="Q32" s="29">
        <f>407640+6292</f>
        <v>413932</v>
      </c>
      <c r="R32" s="29">
        <f>1027957+68</f>
        <v>1028025</v>
      </c>
      <c r="S32" s="30" t="s">
        <v>97</v>
      </c>
      <c r="T32" s="9"/>
      <c r="U32" s="9"/>
      <c r="V32" s="9"/>
      <c r="W32" s="9"/>
      <c r="X32" s="9"/>
      <c r="Y32" s="9"/>
      <c r="Z32" s="9"/>
      <c r="AA32" s="9"/>
      <c r="AB32" s="9"/>
      <c r="AD32" s="46" t="s">
        <v>16</v>
      </c>
      <c r="AE32" s="29">
        <v>7517214</v>
      </c>
      <c r="AF32" s="29">
        <v>1041845</v>
      </c>
      <c r="AG32" s="29">
        <v>0</v>
      </c>
      <c r="AH32" s="29">
        <v>0</v>
      </c>
      <c r="AI32" s="29">
        <f aca="true" t="shared" si="17" ref="AI32:AJ36">AE32+AG32</f>
        <v>7517214</v>
      </c>
      <c r="AJ32" s="29">
        <f t="shared" si="17"/>
        <v>1041845</v>
      </c>
      <c r="AK32" s="29">
        <v>2756893</v>
      </c>
      <c r="AL32" s="29">
        <v>160153</v>
      </c>
      <c r="AM32" s="29">
        <v>0</v>
      </c>
      <c r="AN32" s="29">
        <v>0</v>
      </c>
      <c r="AO32" s="29">
        <f aca="true" t="shared" si="18" ref="AO32:AP36">AK32+AM32</f>
        <v>2756893</v>
      </c>
      <c r="AP32" s="29">
        <f t="shared" si="18"/>
        <v>160153</v>
      </c>
      <c r="AQ32" s="29">
        <v>9145046</v>
      </c>
      <c r="AR32" s="29">
        <v>135743</v>
      </c>
      <c r="AS32" s="29"/>
      <c r="AT32" s="29"/>
      <c r="AU32" s="29">
        <f aca="true" t="shared" si="19" ref="AU32:AV36">AQ32+AS32</f>
        <v>9145046</v>
      </c>
      <c r="AV32" s="29">
        <f t="shared" si="19"/>
        <v>135743</v>
      </c>
    </row>
    <row r="33" spans="1:48" s="1" customFormat="1" ht="13.5" customHeight="1">
      <c r="A33" s="83" t="s">
        <v>98</v>
      </c>
      <c r="B33" s="46" t="s">
        <v>17</v>
      </c>
      <c r="C33" s="44"/>
      <c r="D33" s="29">
        <v>22231170</v>
      </c>
      <c r="E33" s="29">
        <v>7986576</v>
      </c>
      <c r="F33" s="29">
        <v>3962576</v>
      </c>
      <c r="G33" s="29">
        <v>570782</v>
      </c>
      <c r="H33" s="29">
        <v>1345652</v>
      </c>
      <c r="I33" s="29">
        <v>49479</v>
      </c>
      <c r="J33" s="29">
        <v>857511</v>
      </c>
      <c r="K33" s="29"/>
      <c r="L33" s="29">
        <v>7084650</v>
      </c>
      <c r="M33" s="29">
        <v>14262135</v>
      </c>
      <c r="N33" s="29">
        <v>191581</v>
      </c>
      <c r="O33" s="29">
        <v>1661319</v>
      </c>
      <c r="P33" s="29">
        <v>6018</v>
      </c>
      <c r="Q33" s="29">
        <f>141938+5+34</f>
        <v>141977</v>
      </c>
      <c r="R33" s="29">
        <f>83936+126+4</f>
        <v>84066</v>
      </c>
      <c r="S33" s="30" t="s">
        <v>98</v>
      </c>
      <c r="T33" s="9"/>
      <c r="U33" s="9"/>
      <c r="V33" s="9"/>
      <c r="W33" s="9"/>
      <c r="X33" s="9"/>
      <c r="Y33" s="9"/>
      <c r="Z33" s="9"/>
      <c r="AA33" s="9"/>
      <c r="AB33" s="9"/>
      <c r="AD33" s="46" t="s">
        <v>17</v>
      </c>
      <c r="AE33" s="29">
        <v>3956417</v>
      </c>
      <c r="AF33" s="29">
        <v>570584</v>
      </c>
      <c r="AG33" s="29">
        <v>0</v>
      </c>
      <c r="AH33" s="29">
        <v>0</v>
      </c>
      <c r="AI33" s="29">
        <f t="shared" si="17"/>
        <v>3956417</v>
      </c>
      <c r="AJ33" s="29">
        <f t="shared" si="17"/>
        <v>570584</v>
      </c>
      <c r="AK33" s="29">
        <v>1352069</v>
      </c>
      <c r="AL33" s="29">
        <v>49901</v>
      </c>
      <c r="AM33" s="29">
        <v>0</v>
      </c>
      <c r="AN33" s="29">
        <v>0</v>
      </c>
      <c r="AO33" s="29">
        <f t="shared" si="18"/>
        <v>1352069</v>
      </c>
      <c r="AP33" s="29">
        <f t="shared" si="18"/>
        <v>49901</v>
      </c>
      <c r="AQ33" s="29">
        <v>14282562</v>
      </c>
      <c r="AR33" s="29">
        <v>191802</v>
      </c>
      <c r="AS33" s="29"/>
      <c r="AT33" s="29"/>
      <c r="AU33" s="29">
        <f t="shared" si="19"/>
        <v>14282562</v>
      </c>
      <c r="AV33" s="29">
        <f t="shared" si="19"/>
        <v>191802</v>
      </c>
    </row>
    <row r="34" spans="1:48" s="1" customFormat="1" ht="13.5" customHeight="1">
      <c r="A34" s="9">
        <v>10</v>
      </c>
      <c r="B34" s="46" t="s">
        <v>18</v>
      </c>
      <c r="C34" s="44"/>
      <c r="D34" s="29">
        <v>27771213</v>
      </c>
      <c r="E34" s="29">
        <v>16664593</v>
      </c>
      <c r="F34" s="29">
        <v>7269748</v>
      </c>
      <c r="G34" s="29">
        <v>926650</v>
      </c>
      <c r="H34" s="29">
        <v>3278721</v>
      </c>
      <c r="I34" s="29">
        <v>141775</v>
      </c>
      <c r="J34" s="29">
        <v>1378737</v>
      </c>
      <c r="K34" s="29"/>
      <c r="L34" s="29">
        <v>15308372</v>
      </c>
      <c r="M34" s="29">
        <v>10251376</v>
      </c>
      <c r="N34" s="29">
        <v>151356</v>
      </c>
      <c r="O34" s="29">
        <v>5346449</v>
      </c>
      <c r="P34" s="29">
        <v>23401</v>
      </c>
      <c r="Q34" s="29">
        <f>242707+3475</f>
        <v>246182</v>
      </c>
      <c r="R34" s="29">
        <f>112118+921</f>
        <v>113039</v>
      </c>
      <c r="S34" s="49">
        <v>10</v>
      </c>
      <c r="T34" s="9"/>
      <c r="U34" s="9"/>
      <c r="V34" s="9"/>
      <c r="W34" s="9"/>
      <c r="X34" s="9"/>
      <c r="Y34" s="9"/>
      <c r="Z34" s="9"/>
      <c r="AA34" s="9"/>
      <c r="AB34" s="9"/>
      <c r="AD34" s="46" t="s">
        <v>18</v>
      </c>
      <c r="AE34" s="29">
        <v>7485414</v>
      </c>
      <c r="AF34" s="29">
        <v>955236</v>
      </c>
      <c r="AG34" s="29">
        <v>0</v>
      </c>
      <c r="AH34" s="29">
        <v>0</v>
      </c>
      <c r="AI34" s="29">
        <f t="shared" si="17"/>
        <v>7485414</v>
      </c>
      <c r="AJ34" s="29">
        <f t="shared" si="17"/>
        <v>955236</v>
      </c>
      <c r="AK34" s="29">
        <v>3332032</v>
      </c>
      <c r="AL34" s="29">
        <v>143875</v>
      </c>
      <c r="AM34" s="29">
        <v>0</v>
      </c>
      <c r="AN34" s="29">
        <v>0</v>
      </c>
      <c r="AO34" s="29">
        <f t="shared" si="18"/>
        <v>3332032</v>
      </c>
      <c r="AP34" s="29">
        <f t="shared" si="18"/>
        <v>143875</v>
      </c>
      <c r="AQ34" s="29">
        <v>10230884</v>
      </c>
      <c r="AR34" s="29">
        <v>150953</v>
      </c>
      <c r="AS34" s="29"/>
      <c r="AT34" s="29"/>
      <c r="AU34" s="29">
        <f t="shared" si="19"/>
        <v>10230884</v>
      </c>
      <c r="AV34" s="29">
        <f t="shared" si="19"/>
        <v>150953</v>
      </c>
    </row>
    <row r="35" spans="1:48" s="1" customFormat="1" ht="13.5" customHeight="1">
      <c r="A35" s="9">
        <v>11</v>
      </c>
      <c r="B35" s="46" t="s">
        <v>19</v>
      </c>
      <c r="C35" s="44"/>
      <c r="D35" s="29">
        <v>27742287</v>
      </c>
      <c r="E35" s="29">
        <v>9602242</v>
      </c>
      <c r="F35" s="29">
        <v>4371223</v>
      </c>
      <c r="G35" s="29">
        <v>591089</v>
      </c>
      <c r="H35" s="29">
        <v>2521515</v>
      </c>
      <c r="I35" s="29">
        <v>122197</v>
      </c>
      <c r="J35" s="29">
        <v>1125444</v>
      </c>
      <c r="K35" s="29"/>
      <c r="L35" s="29">
        <v>8248710</v>
      </c>
      <c r="M35" s="29">
        <v>16319114</v>
      </c>
      <c r="N35" s="29">
        <v>290428</v>
      </c>
      <c r="O35" s="29">
        <v>3025910</v>
      </c>
      <c r="P35" s="29">
        <v>16284</v>
      </c>
      <c r="Q35" s="29">
        <f>374455+4623+3</f>
        <v>379081</v>
      </c>
      <c r="R35" s="29">
        <f>333500+34</f>
        <v>333534</v>
      </c>
      <c r="S35" s="49">
        <v>11</v>
      </c>
      <c r="T35" s="9"/>
      <c r="U35" s="9"/>
      <c r="V35" s="9"/>
      <c r="W35" s="9"/>
      <c r="X35" s="9"/>
      <c r="Y35" s="9"/>
      <c r="Z35" s="9"/>
      <c r="AA35" s="9"/>
      <c r="AB35" s="9"/>
      <c r="AD35" s="46" t="s">
        <v>19</v>
      </c>
      <c r="AE35" s="29">
        <v>4380340</v>
      </c>
      <c r="AF35" s="29">
        <v>598527</v>
      </c>
      <c r="AG35" s="29">
        <v>0</v>
      </c>
      <c r="AH35" s="29">
        <v>0</v>
      </c>
      <c r="AI35" s="29">
        <f t="shared" si="17"/>
        <v>4380340</v>
      </c>
      <c r="AJ35" s="29">
        <f t="shared" si="17"/>
        <v>598527</v>
      </c>
      <c r="AK35" s="29">
        <v>2357273</v>
      </c>
      <c r="AL35" s="29">
        <v>111680</v>
      </c>
      <c r="AM35" s="29">
        <v>0</v>
      </c>
      <c r="AN35" s="29">
        <v>0</v>
      </c>
      <c r="AO35" s="29">
        <f t="shared" si="18"/>
        <v>2357273</v>
      </c>
      <c r="AP35" s="29">
        <f t="shared" si="18"/>
        <v>111680</v>
      </c>
      <c r="AQ35" s="29">
        <v>14429545</v>
      </c>
      <c r="AR35" s="29">
        <v>257236</v>
      </c>
      <c r="AS35" s="29"/>
      <c r="AT35" s="29"/>
      <c r="AU35" s="29">
        <f t="shared" si="19"/>
        <v>14429545</v>
      </c>
      <c r="AV35" s="29">
        <f t="shared" si="19"/>
        <v>257236</v>
      </c>
    </row>
    <row r="36" spans="1:48" s="1" customFormat="1" ht="13.5" customHeight="1">
      <c r="A36" s="9">
        <v>12</v>
      </c>
      <c r="B36" s="46" t="s">
        <v>20</v>
      </c>
      <c r="C36" s="44"/>
      <c r="D36" s="29">
        <v>29430671</v>
      </c>
      <c r="E36" s="29">
        <v>6501352</v>
      </c>
      <c r="F36" s="29">
        <v>2803127</v>
      </c>
      <c r="G36" s="29">
        <v>241922</v>
      </c>
      <c r="H36" s="29">
        <v>1941381</v>
      </c>
      <c r="I36" s="29">
        <v>51813</v>
      </c>
      <c r="J36" s="29">
        <v>661169</v>
      </c>
      <c r="K36" s="29"/>
      <c r="L36" s="29">
        <v>5688429</v>
      </c>
      <c r="M36" s="29">
        <v>21075640</v>
      </c>
      <c r="N36" s="29">
        <v>388143</v>
      </c>
      <c r="O36" s="29">
        <v>2580051</v>
      </c>
      <c r="P36" s="29">
        <v>25154</v>
      </c>
      <c r="Q36" s="29">
        <v>369303</v>
      </c>
      <c r="R36" s="29">
        <v>105891</v>
      </c>
      <c r="S36" s="49">
        <v>12</v>
      </c>
      <c r="T36" s="9"/>
      <c r="U36" s="9"/>
      <c r="V36" s="9"/>
      <c r="W36" s="9"/>
      <c r="X36" s="9"/>
      <c r="Y36" s="9"/>
      <c r="Z36" s="9"/>
      <c r="AA36" s="9"/>
      <c r="AB36" s="9"/>
      <c r="AD36" s="46" t="s">
        <v>20</v>
      </c>
      <c r="AE36" s="29">
        <v>2814711</v>
      </c>
      <c r="AF36" s="29">
        <v>242885</v>
      </c>
      <c r="AG36" s="29">
        <v>0</v>
      </c>
      <c r="AH36" s="29">
        <v>0</v>
      </c>
      <c r="AI36" s="29">
        <f t="shared" si="17"/>
        <v>2814711</v>
      </c>
      <c r="AJ36" s="29">
        <f t="shared" si="17"/>
        <v>242885</v>
      </c>
      <c r="AK36" s="29">
        <v>1944905</v>
      </c>
      <c r="AL36" s="29">
        <v>51990</v>
      </c>
      <c r="AM36" s="29">
        <v>0</v>
      </c>
      <c r="AN36" s="29">
        <v>0</v>
      </c>
      <c r="AO36" s="29">
        <f t="shared" si="18"/>
        <v>1944905</v>
      </c>
      <c r="AP36" s="29">
        <f t="shared" si="18"/>
        <v>51990</v>
      </c>
      <c r="AQ36" s="29">
        <v>21138115</v>
      </c>
      <c r="AR36" s="29">
        <v>389060</v>
      </c>
      <c r="AS36" s="29"/>
      <c r="AT36" s="29"/>
      <c r="AU36" s="29">
        <f t="shared" si="19"/>
        <v>21138115</v>
      </c>
      <c r="AV36" s="29">
        <f t="shared" si="19"/>
        <v>389060</v>
      </c>
    </row>
    <row r="37" spans="1:48" s="1" customFormat="1" ht="9.75" customHeight="1">
      <c r="A37" s="9"/>
      <c r="B37" s="46"/>
      <c r="C37" s="44"/>
      <c r="F37" s="29"/>
      <c r="G37" s="29"/>
      <c r="J37" s="29"/>
      <c r="K37" s="29"/>
      <c r="L37" s="29"/>
      <c r="S37" s="49"/>
      <c r="T37" s="9"/>
      <c r="U37" s="9"/>
      <c r="V37" s="9"/>
      <c r="W37" s="9"/>
      <c r="X37" s="9"/>
      <c r="Y37" s="9"/>
      <c r="Z37" s="9"/>
      <c r="AA37" s="9"/>
      <c r="AB37" s="9"/>
      <c r="AD37" s="46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</row>
    <row r="38" spans="1:48" s="1" customFormat="1" ht="13.5" customHeight="1">
      <c r="A38" s="9">
        <v>13</v>
      </c>
      <c r="B38" s="46" t="s">
        <v>21</v>
      </c>
      <c r="C38" s="44"/>
      <c r="D38" s="29">
        <v>6961952</v>
      </c>
      <c r="E38" s="29">
        <v>8738299</v>
      </c>
      <c r="F38" s="29">
        <v>2371506</v>
      </c>
      <c r="G38" s="29">
        <v>280073</v>
      </c>
      <c r="H38" s="29">
        <v>818157</v>
      </c>
      <c r="I38" s="29">
        <v>27950</v>
      </c>
      <c r="J38" s="29">
        <v>654650</v>
      </c>
      <c r="K38" s="29"/>
      <c r="L38" s="29">
        <v>8248354</v>
      </c>
      <c r="M38" s="29">
        <v>2705102</v>
      </c>
      <c r="N38" s="29">
        <v>31723</v>
      </c>
      <c r="O38" s="29">
        <v>233255</v>
      </c>
      <c r="P38" s="29">
        <v>1406</v>
      </c>
      <c r="Q38" s="29">
        <v>179282</v>
      </c>
      <c r="R38" s="29">
        <v>148793</v>
      </c>
      <c r="S38" s="49">
        <v>13</v>
      </c>
      <c r="T38" s="9"/>
      <c r="U38" s="9"/>
      <c r="V38" s="9"/>
      <c r="W38" s="9"/>
      <c r="X38" s="9"/>
      <c r="Y38" s="9"/>
      <c r="Z38" s="9"/>
      <c r="AA38" s="9"/>
      <c r="AB38" s="9"/>
      <c r="AD38" s="46" t="s">
        <v>21</v>
      </c>
      <c r="AE38" s="29">
        <v>2429734</v>
      </c>
      <c r="AF38" s="29">
        <v>362221</v>
      </c>
      <c r="AG38" s="29">
        <v>0</v>
      </c>
      <c r="AH38" s="29">
        <v>0</v>
      </c>
      <c r="AI38" s="29">
        <f aca="true" t="shared" si="20" ref="AI38:AJ40">AE38+AG38</f>
        <v>2429734</v>
      </c>
      <c r="AJ38" s="29">
        <f t="shared" si="20"/>
        <v>362221</v>
      </c>
      <c r="AK38" s="29">
        <v>828021</v>
      </c>
      <c r="AL38" s="29">
        <v>33835</v>
      </c>
      <c r="AM38" s="29">
        <v>0</v>
      </c>
      <c r="AN38" s="29">
        <v>0</v>
      </c>
      <c r="AO38" s="29">
        <f aca="true" t="shared" si="21" ref="AO38:AP40">AK38+AM38</f>
        <v>828021</v>
      </c>
      <c r="AP38" s="29">
        <f t="shared" si="21"/>
        <v>33835</v>
      </c>
      <c r="AQ38" s="29">
        <v>2670168</v>
      </c>
      <c r="AR38" s="29">
        <v>31351</v>
      </c>
      <c r="AS38" s="29"/>
      <c r="AT38" s="29"/>
      <c r="AU38" s="29">
        <f aca="true" t="shared" si="22" ref="AU38:AV40">AQ38+AS38</f>
        <v>2670168</v>
      </c>
      <c r="AV38" s="29">
        <f t="shared" si="22"/>
        <v>31351</v>
      </c>
    </row>
    <row r="39" spans="1:48" s="1" customFormat="1" ht="13.5" customHeight="1">
      <c r="A39" s="9">
        <v>14</v>
      </c>
      <c r="B39" s="46" t="s">
        <v>22</v>
      </c>
      <c r="C39" s="44"/>
      <c r="D39" s="29">
        <v>21378826</v>
      </c>
      <c r="E39" s="29">
        <v>2640008</v>
      </c>
      <c r="F39" s="29">
        <v>1906091</v>
      </c>
      <c r="G39" s="29">
        <v>181196</v>
      </c>
      <c r="H39" s="29">
        <v>3022207</v>
      </c>
      <c r="I39" s="29">
        <v>74557</v>
      </c>
      <c r="J39" s="29">
        <v>533021</v>
      </c>
      <c r="K39" s="29"/>
      <c r="L39" s="29">
        <v>2126930</v>
      </c>
      <c r="M39" s="29">
        <v>15224194</v>
      </c>
      <c r="N39" s="29">
        <v>220509</v>
      </c>
      <c r="O39" s="29">
        <v>420376</v>
      </c>
      <c r="P39" s="29">
        <v>3182</v>
      </c>
      <c r="Q39" s="29">
        <f>265898+7039</f>
        <v>272937</v>
      </c>
      <c r="R39" s="29">
        <f>33599+35</f>
        <v>33634</v>
      </c>
      <c r="S39" s="49">
        <v>14</v>
      </c>
      <c r="T39" s="9"/>
      <c r="U39" s="9"/>
      <c r="V39" s="9"/>
      <c r="W39" s="9"/>
      <c r="X39" s="9"/>
      <c r="Y39" s="9"/>
      <c r="Z39" s="9"/>
      <c r="AA39" s="9"/>
      <c r="AB39" s="9"/>
      <c r="AD39" s="46" t="s">
        <v>22</v>
      </c>
      <c r="AE39" s="29">
        <v>1939976</v>
      </c>
      <c r="AF39" s="29">
        <v>184053</v>
      </c>
      <c r="AG39" s="29">
        <v>0</v>
      </c>
      <c r="AH39" s="29">
        <v>0</v>
      </c>
      <c r="AI39" s="29">
        <f t="shared" si="20"/>
        <v>1939976</v>
      </c>
      <c r="AJ39" s="29">
        <f t="shared" si="20"/>
        <v>184053</v>
      </c>
      <c r="AK39" s="29">
        <v>3047977</v>
      </c>
      <c r="AL39" s="29">
        <v>75090</v>
      </c>
      <c r="AM39" s="29">
        <v>0</v>
      </c>
      <c r="AN39" s="29">
        <v>0</v>
      </c>
      <c r="AO39" s="29">
        <f t="shared" si="21"/>
        <v>3047977</v>
      </c>
      <c r="AP39" s="29">
        <f t="shared" si="21"/>
        <v>75090</v>
      </c>
      <c r="AQ39" s="29">
        <v>15250573</v>
      </c>
      <c r="AR39" s="29">
        <v>220587</v>
      </c>
      <c r="AS39" s="29"/>
      <c r="AT39" s="29"/>
      <c r="AU39" s="29">
        <f t="shared" si="22"/>
        <v>15250573</v>
      </c>
      <c r="AV39" s="29">
        <f t="shared" si="22"/>
        <v>220587</v>
      </c>
    </row>
    <row r="40" spans="1:48" s="1" customFormat="1" ht="13.5" customHeight="1">
      <c r="A40" s="9">
        <v>15</v>
      </c>
      <c r="B40" s="46" t="s">
        <v>23</v>
      </c>
      <c r="C40" s="44"/>
      <c r="D40" s="29">
        <v>14965360</v>
      </c>
      <c r="E40" s="29">
        <v>18173364</v>
      </c>
      <c r="F40" s="29">
        <f>5937756+11140</f>
        <v>5948896</v>
      </c>
      <c r="G40" s="29">
        <f>625047+67911</f>
        <v>692958</v>
      </c>
      <c r="H40" s="29">
        <f>1249806+1728</f>
        <v>1251534</v>
      </c>
      <c r="I40" s="29">
        <f>44232+14295</f>
        <v>58527</v>
      </c>
      <c r="J40" s="29">
        <v>1326632</v>
      </c>
      <c r="K40" s="29"/>
      <c r="L40" s="29">
        <v>17128457</v>
      </c>
      <c r="M40" s="29">
        <v>4880361</v>
      </c>
      <c r="N40" s="29">
        <v>113676</v>
      </c>
      <c r="O40" s="29">
        <v>934933</v>
      </c>
      <c r="P40" s="29">
        <v>12959</v>
      </c>
      <c r="Q40" s="29">
        <f>611428+11576</f>
        <v>623004</v>
      </c>
      <c r="R40" s="29">
        <f>166471+316</f>
        <v>166787</v>
      </c>
      <c r="S40" s="49">
        <v>15</v>
      </c>
      <c r="T40" s="9"/>
      <c r="U40" s="9"/>
      <c r="V40" s="9"/>
      <c r="W40" s="9"/>
      <c r="X40" s="9"/>
      <c r="Y40" s="9"/>
      <c r="Z40" s="9"/>
      <c r="AA40" s="9"/>
      <c r="AB40" s="9"/>
      <c r="AD40" s="46" t="s">
        <v>23</v>
      </c>
      <c r="AE40" s="29">
        <v>5998414</v>
      </c>
      <c r="AF40" s="29">
        <v>631505</v>
      </c>
      <c r="AG40" s="29">
        <v>11544</v>
      </c>
      <c r="AH40" s="29">
        <v>73288</v>
      </c>
      <c r="AI40" s="29">
        <f t="shared" si="20"/>
        <v>6009958</v>
      </c>
      <c r="AJ40" s="29">
        <f t="shared" si="20"/>
        <v>704793</v>
      </c>
      <c r="AK40" s="29">
        <v>1253512</v>
      </c>
      <c r="AL40" s="29">
        <v>44396</v>
      </c>
      <c r="AM40" s="29">
        <v>1728</v>
      </c>
      <c r="AN40" s="29">
        <v>14294</v>
      </c>
      <c r="AO40" s="29">
        <f t="shared" si="21"/>
        <v>1255240</v>
      </c>
      <c r="AP40" s="29">
        <f t="shared" si="21"/>
        <v>58690</v>
      </c>
      <c r="AQ40" s="29">
        <v>4818505</v>
      </c>
      <c r="AR40" s="29">
        <v>112305</v>
      </c>
      <c r="AS40" s="29"/>
      <c r="AT40" s="29"/>
      <c r="AU40" s="29">
        <f t="shared" si="22"/>
        <v>4818505</v>
      </c>
      <c r="AV40" s="29">
        <f t="shared" si="22"/>
        <v>112305</v>
      </c>
    </row>
    <row r="41" spans="1:48" s="1" customFormat="1" ht="8.25" customHeight="1">
      <c r="A41" s="9"/>
      <c r="B41" s="46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49"/>
      <c r="T41" s="9"/>
      <c r="U41" s="9"/>
      <c r="V41" s="9"/>
      <c r="W41" s="9"/>
      <c r="X41" s="9"/>
      <c r="Y41" s="9"/>
      <c r="Z41" s="9"/>
      <c r="AA41" s="9"/>
      <c r="AB41" s="9"/>
      <c r="AD41" s="46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</row>
    <row r="42" spans="1:48" s="36" customFormat="1" ht="12.75" customHeight="1">
      <c r="A42" s="54" t="s">
        <v>24</v>
      </c>
      <c r="B42" s="55" t="s">
        <v>25</v>
      </c>
      <c r="C42" s="40"/>
      <c r="D42" s="33">
        <f aca="true" t="shared" si="23" ref="D42:J42">SUM(D44:D46)</f>
        <v>70741757</v>
      </c>
      <c r="E42" s="33">
        <f t="shared" si="23"/>
        <v>52755606</v>
      </c>
      <c r="F42" s="33">
        <f t="shared" si="23"/>
        <v>16338252</v>
      </c>
      <c r="G42" s="33">
        <f t="shared" si="23"/>
        <v>2002192</v>
      </c>
      <c r="H42" s="33">
        <f t="shared" si="23"/>
        <v>7487120</v>
      </c>
      <c r="I42" s="33">
        <f t="shared" si="23"/>
        <v>270001</v>
      </c>
      <c r="J42" s="33">
        <f t="shared" si="23"/>
        <v>3877749</v>
      </c>
      <c r="K42" s="33"/>
      <c r="L42" s="33">
        <f aca="true" t="shared" si="24" ref="L42:Q42">SUM(L44:L46)</f>
        <v>47242605</v>
      </c>
      <c r="M42" s="33">
        <f t="shared" si="24"/>
        <v>37110816</v>
      </c>
      <c r="N42" s="33">
        <f t="shared" si="24"/>
        <v>355698</v>
      </c>
      <c r="O42" s="33">
        <f t="shared" si="24"/>
        <v>4086384</v>
      </c>
      <c r="P42" s="33">
        <f t="shared" si="24"/>
        <v>29568</v>
      </c>
      <c r="Q42" s="33">
        <f t="shared" si="24"/>
        <v>1841436</v>
      </c>
      <c r="R42" s="33">
        <f>SUM(R44:R46)</f>
        <v>2855542</v>
      </c>
      <c r="S42" s="56" t="s">
        <v>24</v>
      </c>
      <c r="T42" s="35"/>
      <c r="U42" s="35"/>
      <c r="V42" s="35"/>
      <c r="W42" s="35"/>
      <c r="X42" s="35"/>
      <c r="Y42" s="35"/>
      <c r="Z42" s="35"/>
      <c r="AA42" s="35"/>
      <c r="AB42" s="35"/>
      <c r="AD42" s="55" t="s">
        <v>25</v>
      </c>
      <c r="AE42" s="33">
        <f>SUM(AE44:AE46)</f>
        <v>16452020</v>
      </c>
      <c r="AF42" s="33">
        <f>SUM(AF44:AF46)</f>
        <v>1998306</v>
      </c>
      <c r="AG42" s="33">
        <f>SUM(AG44:AG46)</f>
        <v>2101</v>
      </c>
      <c r="AH42" s="33">
        <f>SUM(AH44:AH46)</f>
        <v>13555</v>
      </c>
      <c r="AI42" s="29">
        <f>AE42+AG42</f>
        <v>16454121</v>
      </c>
      <c r="AJ42" s="29">
        <f>AF42+AH42</f>
        <v>2011861</v>
      </c>
      <c r="AK42" s="33">
        <f>SUM(AK44:AK46)</f>
        <v>7504675</v>
      </c>
      <c r="AL42" s="33">
        <f>SUM(AL44:AL46)</f>
        <v>268706</v>
      </c>
      <c r="AM42" s="33">
        <f>SUM(AM44:AM46)</f>
        <v>240</v>
      </c>
      <c r="AN42" s="33">
        <f>SUM(AN44:AN46)</f>
        <v>1126</v>
      </c>
      <c r="AO42" s="29">
        <f>AK42+AM42</f>
        <v>7504915</v>
      </c>
      <c r="AP42" s="29">
        <f>AL42+AN42</f>
        <v>269832</v>
      </c>
      <c r="AQ42" s="33">
        <f>SUM(AQ44:AQ46)</f>
        <v>37142266</v>
      </c>
      <c r="AR42" s="33">
        <f>SUM(AR44:AR46)</f>
        <v>356144</v>
      </c>
      <c r="AS42" s="33">
        <f>SUM(AS44:AS46)</f>
        <v>0</v>
      </c>
      <c r="AT42" s="33">
        <f>SUM(AT44:AT46)</f>
        <v>0</v>
      </c>
      <c r="AU42" s="29">
        <f>AQ42+AS42</f>
        <v>37142266</v>
      </c>
      <c r="AV42" s="29">
        <f>AR42+AT42</f>
        <v>356144</v>
      </c>
    </row>
    <row r="43" spans="1:48" s="1" customFormat="1" ht="8.25" customHeight="1">
      <c r="A43" s="58"/>
      <c r="B43" s="59"/>
      <c r="C43" s="60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2"/>
      <c r="T43" s="9"/>
      <c r="U43" s="9"/>
      <c r="V43" s="9"/>
      <c r="W43" s="9"/>
      <c r="X43" s="9"/>
      <c r="Y43" s="9"/>
      <c r="Z43" s="9"/>
      <c r="AA43" s="9"/>
      <c r="AB43" s="9"/>
      <c r="AD43" s="59"/>
      <c r="AE43" s="61"/>
      <c r="AF43" s="61"/>
      <c r="AG43" s="61"/>
      <c r="AH43" s="61"/>
      <c r="AI43" s="29"/>
      <c r="AJ43" s="29"/>
      <c r="AK43" s="61"/>
      <c r="AL43" s="61"/>
      <c r="AM43" s="61"/>
      <c r="AN43" s="61"/>
      <c r="AO43" s="29"/>
      <c r="AP43" s="29"/>
      <c r="AQ43" s="61"/>
      <c r="AR43" s="61"/>
      <c r="AS43" s="61"/>
      <c r="AT43" s="61"/>
      <c r="AU43" s="29"/>
      <c r="AV43" s="29"/>
    </row>
    <row r="44" spans="1:48" s="1" customFormat="1" ht="13.5" customHeight="1">
      <c r="A44" s="9">
        <v>16</v>
      </c>
      <c r="B44" s="46" t="s">
        <v>26</v>
      </c>
      <c r="C44" s="44"/>
      <c r="D44" s="29">
        <v>21732641</v>
      </c>
      <c r="E44" s="29">
        <v>28531691</v>
      </c>
      <c r="F44" s="29">
        <f>7340962+2101</f>
        <v>7343063</v>
      </c>
      <c r="G44" s="29">
        <f>952169+12959</f>
        <v>965128</v>
      </c>
      <c r="H44" s="29">
        <f>2669377+339</f>
        <v>2669716</v>
      </c>
      <c r="I44" s="29">
        <f>102538+1667</f>
        <v>104205</v>
      </c>
      <c r="J44" s="29">
        <v>1712567</v>
      </c>
      <c r="K44" s="29"/>
      <c r="L44" s="29">
        <v>24970624</v>
      </c>
      <c r="M44" s="29">
        <v>7584204</v>
      </c>
      <c r="N44" s="29">
        <v>77092</v>
      </c>
      <c r="O44" s="29">
        <v>984150</v>
      </c>
      <c r="P44" s="29">
        <v>5852</v>
      </c>
      <c r="Q44" s="29">
        <f>1176973+24+261944</f>
        <v>1438941</v>
      </c>
      <c r="R44" s="29">
        <f>2395668+10720+2402</f>
        <v>2408790</v>
      </c>
      <c r="S44" s="49">
        <v>16</v>
      </c>
      <c r="T44" s="9"/>
      <c r="U44" s="9"/>
      <c r="V44" s="9"/>
      <c r="W44" s="9"/>
      <c r="X44" s="9"/>
      <c r="Y44" s="9"/>
      <c r="Z44" s="9"/>
      <c r="AA44" s="9"/>
      <c r="AB44" s="9"/>
      <c r="AD44" s="46" t="s">
        <v>26</v>
      </c>
      <c r="AE44" s="29">
        <v>7357338</v>
      </c>
      <c r="AF44" s="29">
        <v>953869</v>
      </c>
      <c r="AG44" s="29">
        <v>2101</v>
      </c>
      <c r="AH44" s="29">
        <v>13555</v>
      </c>
      <c r="AI44" s="29">
        <f aca="true" t="shared" si="25" ref="AI44:AJ46">AE44+AG44</f>
        <v>7359439</v>
      </c>
      <c r="AJ44" s="29">
        <f t="shared" si="25"/>
        <v>967424</v>
      </c>
      <c r="AK44" s="29">
        <v>2680832</v>
      </c>
      <c r="AL44" s="29">
        <v>103088</v>
      </c>
      <c r="AM44" s="29">
        <v>240</v>
      </c>
      <c r="AN44" s="29">
        <v>1126</v>
      </c>
      <c r="AO44" s="29">
        <f aca="true" t="shared" si="26" ref="AO44:AP46">AK44+AM44</f>
        <v>2681072</v>
      </c>
      <c r="AP44" s="29">
        <f t="shared" si="26"/>
        <v>104214</v>
      </c>
      <c r="AQ44" s="29">
        <v>7594322</v>
      </c>
      <c r="AR44" s="29">
        <v>77203</v>
      </c>
      <c r="AS44" s="29"/>
      <c r="AT44" s="29"/>
      <c r="AU44" s="29">
        <f aca="true" t="shared" si="27" ref="AU44:AV46">AQ44+AS44</f>
        <v>7594322</v>
      </c>
      <c r="AV44" s="29">
        <f t="shared" si="27"/>
        <v>77203</v>
      </c>
    </row>
    <row r="45" spans="1:48" s="1" customFormat="1" ht="13.5" customHeight="1">
      <c r="A45" s="9">
        <v>17</v>
      </c>
      <c r="B45" s="46" t="s">
        <v>27</v>
      </c>
      <c r="C45" s="44"/>
      <c r="D45" s="29">
        <v>14224811</v>
      </c>
      <c r="E45" s="29">
        <v>11096149</v>
      </c>
      <c r="F45" s="29">
        <v>4484382</v>
      </c>
      <c r="G45" s="29">
        <v>550941</v>
      </c>
      <c r="H45" s="29">
        <v>644444</v>
      </c>
      <c r="I45" s="29">
        <v>26181</v>
      </c>
      <c r="J45" s="29">
        <v>953996</v>
      </c>
      <c r="K45" s="29"/>
      <c r="L45" s="29">
        <v>10353674</v>
      </c>
      <c r="M45" s="29">
        <v>7104960</v>
      </c>
      <c r="N45" s="29">
        <v>80685</v>
      </c>
      <c r="O45" s="29">
        <v>895601</v>
      </c>
      <c r="P45" s="29">
        <v>8721</v>
      </c>
      <c r="Q45" s="29">
        <v>141428</v>
      </c>
      <c r="R45" s="29">
        <v>75947</v>
      </c>
      <c r="S45" s="49">
        <v>17</v>
      </c>
      <c r="T45" s="9"/>
      <c r="U45" s="9"/>
      <c r="V45" s="9"/>
      <c r="W45" s="9"/>
      <c r="X45" s="9"/>
      <c r="Y45" s="9"/>
      <c r="Z45" s="9"/>
      <c r="AA45" s="9"/>
      <c r="AB45" s="9"/>
      <c r="AD45" s="46" t="s">
        <v>27</v>
      </c>
      <c r="AE45" s="29">
        <v>4517147</v>
      </c>
      <c r="AF45" s="29">
        <v>554532</v>
      </c>
      <c r="AG45" s="29">
        <v>0</v>
      </c>
      <c r="AH45" s="29">
        <v>0</v>
      </c>
      <c r="AI45" s="29">
        <f t="shared" si="25"/>
        <v>4517147</v>
      </c>
      <c r="AJ45" s="29">
        <f t="shared" si="25"/>
        <v>554532</v>
      </c>
      <c r="AK45" s="29">
        <v>637776</v>
      </c>
      <c r="AL45" s="29">
        <v>25907</v>
      </c>
      <c r="AM45" s="29">
        <v>0</v>
      </c>
      <c r="AN45" s="29">
        <v>0</v>
      </c>
      <c r="AO45" s="29">
        <f t="shared" si="26"/>
        <v>637776</v>
      </c>
      <c r="AP45" s="29">
        <f t="shared" si="26"/>
        <v>25907</v>
      </c>
      <c r="AQ45" s="29">
        <v>7132495</v>
      </c>
      <c r="AR45" s="29">
        <v>81079</v>
      </c>
      <c r="AS45" s="29"/>
      <c r="AT45" s="29"/>
      <c r="AU45" s="29">
        <f t="shared" si="27"/>
        <v>7132495</v>
      </c>
      <c r="AV45" s="29">
        <f t="shared" si="27"/>
        <v>81079</v>
      </c>
    </row>
    <row r="46" spans="1:48" s="1" customFormat="1" ht="13.5" customHeight="1">
      <c r="A46" s="9">
        <v>18</v>
      </c>
      <c r="B46" s="46" t="s">
        <v>28</v>
      </c>
      <c r="C46" s="44"/>
      <c r="D46" s="29">
        <v>34784305</v>
      </c>
      <c r="E46" s="29">
        <v>13127766</v>
      </c>
      <c r="F46" s="29">
        <v>4510807</v>
      </c>
      <c r="G46" s="29">
        <v>486123</v>
      </c>
      <c r="H46" s="29">
        <v>4172960</v>
      </c>
      <c r="I46" s="29">
        <v>139615</v>
      </c>
      <c r="J46" s="29">
        <v>1211186</v>
      </c>
      <c r="K46" s="29"/>
      <c r="L46" s="29">
        <v>11918307</v>
      </c>
      <c r="M46" s="29">
        <v>22421652</v>
      </c>
      <c r="N46" s="29">
        <v>197921</v>
      </c>
      <c r="O46" s="29">
        <v>2206633</v>
      </c>
      <c r="P46" s="29">
        <v>14995</v>
      </c>
      <c r="Q46" s="29">
        <f>256375+4692</f>
        <v>261067</v>
      </c>
      <c r="R46" s="29">
        <f>370331+474</f>
        <v>370805</v>
      </c>
      <c r="S46" s="49">
        <v>18</v>
      </c>
      <c r="T46" s="9"/>
      <c r="U46" s="9"/>
      <c r="V46" s="9"/>
      <c r="W46" s="9"/>
      <c r="X46" s="9"/>
      <c r="Y46" s="9"/>
      <c r="Z46" s="9"/>
      <c r="AA46" s="9"/>
      <c r="AB46" s="9"/>
      <c r="AD46" s="46" t="s">
        <v>28</v>
      </c>
      <c r="AE46" s="29">
        <v>4577535</v>
      </c>
      <c r="AF46" s="29">
        <v>489905</v>
      </c>
      <c r="AG46" s="29">
        <v>0</v>
      </c>
      <c r="AH46" s="29">
        <v>0</v>
      </c>
      <c r="AI46" s="29">
        <f t="shared" si="25"/>
        <v>4577535</v>
      </c>
      <c r="AJ46" s="29">
        <f t="shared" si="25"/>
        <v>489905</v>
      </c>
      <c r="AK46" s="29">
        <v>4186067</v>
      </c>
      <c r="AL46" s="29">
        <v>139711</v>
      </c>
      <c r="AM46" s="29">
        <v>0</v>
      </c>
      <c r="AN46" s="29">
        <v>0</v>
      </c>
      <c r="AO46" s="29">
        <f t="shared" si="26"/>
        <v>4186067</v>
      </c>
      <c r="AP46" s="29">
        <f t="shared" si="26"/>
        <v>139711</v>
      </c>
      <c r="AQ46" s="29">
        <v>22415449</v>
      </c>
      <c r="AR46" s="29">
        <v>197862</v>
      </c>
      <c r="AS46" s="29"/>
      <c r="AT46" s="29"/>
      <c r="AU46" s="29">
        <f t="shared" si="27"/>
        <v>22415449</v>
      </c>
      <c r="AV46" s="29">
        <f t="shared" si="27"/>
        <v>197862</v>
      </c>
    </row>
    <row r="47" spans="1:48" s="1" customFormat="1" ht="8.25" customHeight="1">
      <c r="A47" s="9"/>
      <c r="B47" s="46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49"/>
      <c r="T47" s="9"/>
      <c r="U47" s="9"/>
      <c r="V47" s="9"/>
      <c r="W47" s="9"/>
      <c r="X47" s="9"/>
      <c r="Y47" s="9"/>
      <c r="Z47" s="9"/>
      <c r="AA47" s="9"/>
      <c r="AB47" s="9"/>
      <c r="AD47" s="46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</row>
    <row r="48" spans="1:48" s="36" customFormat="1" ht="12.75" customHeight="1">
      <c r="A48" s="54" t="s">
        <v>29</v>
      </c>
      <c r="B48" s="55" t="s">
        <v>30</v>
      </c>
      <c r="C48" s="40"/>
      <c r="D48" s="33">
        <f aca="true" t="shared" si="28" ref="D48:J48">SUM(D50:D59)</f>
        <v>215897090</v>
      </c>
      <c r="E48" s="33">
        <f t="shared" si="28"/>
        <v>185578347</v>
      </c>
      <c r="F48" s="33">
        <f t="shared" si="28"/>
        <v>46744329</v>
      </c>
      <c r="G48" s="33">
        <f t="shared" si="28"/>
        <v>5938166</v>
      </c>
      <c r="H48" s="33">
        <f t="shared" si="28"/>
        <v>46362244</v>
      </c>
      <c r="I48" s="33">
        <f t="shared" si="28"/>
        <v>2293130</v>
      </c>
      <c r="J48" s="33">
        <f t="shared" si="28"/>
        <v>14629656</v>
      </c>
      <c r="K48" s="33"/>
      <c r="L48" s="33">
        <f aca="true" t="shared" si="29" ref="L48:Q48">SUM(L50:L59)</f>
        <v>165649520</v>
      </c>
      <c r="M48" s="33">
        <f t="shared" si="29"/>
        <v>92511451</v>
      </c>
      <c r="N48" s="33">
        <f t="shared" si="29"/>
        <v>1296958</v>
      </c>
      <c r="O48" s="33">
        <f t="shared" si="29"/>
        <v>12068617</v>
      </c>
      <c r="P48" s="33">
        <f t="shared" si="29"/>
        <v>85698</v>
      </c>
      <c r="Q48" s="33">
        <f t="shared" si="29"/>
        <v>3580793</v>
      </c>
      <c r="R48" s="33">
        <f>SUM(R50:R59)</f>
        <v>10314875</v>
      </c>
      <c r="S48" s="56" t="s">
        <v>29</v>
      </c>
      <c r="T48" s="35"/>
      <c r="U48" s="35"/>
      <c r="V48" s="35"/>
      <c r="W48" s="35"/>
      <c r="X48" s="35"/>
      <c r="Y48" s="35"/>
      <c r="Z48" s="35"/>
      <c r="AA48" s="35"/>
      <c r="AB48" s="35"/>
      <c r="AD48" s="55" t="s">
        <v>30</v>
      </c>
      <c r="AE48" s="33">
        <f>SUM(AE50:AE59)</f>
        <v>47329047</v>
      </c>
      <c r="AF48" s="33">
        <f>SUM(AF50:AF59)</f>
        <v>5794917</v>
      </c>
      <c r="AG48" s="33">
        <f>SUM(AG50:AG59)</f>
        <v>12914</v>
      </c>
      <c r="AH48" s="33">
        <f>SUM(AH50:AH59)</f>
        <v>284443</v>
      </c>
      <c r="AI48" s="29">
        <f>AE48+AG48</f>
        <v>47341961</v>
      </c>
      <c r="AJ48" s="29">
        <f>AF48+AH48</f>
        <v>6079360</v>
      </c>
      <c r="AK48" s="33">
        <f>SUM(AK50:AK59)</f>
        <v>46618276</v>
      </c>
      <c r="AL48" s="33">
        <f>SUM(AL50:AL59)</f>
        <v>2266043</v>
      </c>
      <c r="AM48" s="33">
        <f>SUM(AM50:AM59)</f>
        <v>4094</v>
      </c>
      <c r="AN48" s="33">
        <f>SUM(AN50:AN59)</f>
        <v>41855</v>
      </c>
      <c r="AO48" s="29">
        <f aca="true" t="shared" si="30" ref="AO48:AP54">AK48+AM48</f>
        <v>46622370</v>
      </c>
      <c r="AP48" s="29">
        <f t="shared" si="30"/>
        <v>2307898</v>
      </c>
      <c r="AQ48" s="33">
        <f>SUM(AQ50:AQ59)</f>
        <v>92201707</v>
      </c>
      <c r="AR48" s="33">
        <f>SUM(AR50:AR59)</f>
        <v>1292746</v>
      </c>
      <c r="AS48" s="33">
        <f>SUM(AS50:AS59)</f>
        <v>12476</v>
      </c>
      <c r="AT48" s="33">
        <f>SUM(AT50:AT59)</f>
        <v>4200</v>
      </c>
      <c r="AU48" s="29">
        <f aca="true" t="shared" si="31" ref="AU48:AV54">AQ48+AS48</f>
        <v>92214183</v>
      </c>
      <c r="AV48" s="29">
        <f t="shared" si="31"/>
        <v>1296946</v>
      </c>
    </row>
    <row r="49" spans="1:48" s="1" customFormat="1" ht="8.25" customHeight="1">
      <c r="A49" s="58"/>
      <c r="B49" s="59"/>
      <c r="C49" s="60"/>
      <c r="D49" s="61"/>
      <c r="E49" s="61"/>
      <c r="F49" s="61"/>
      <c r="G49" s="61"/>
      <c r="H49" s="61"/>
      <c r="I49" s="61"/>
      <c r="J49" s="61"/>
      <c r="K49" s="63"/>
      <c r="L49" s="61"/>
      <c r="M49" s="61"/>
      <c r="N49" s="61"/>
      <c r="O49" s="61"/>
      <c r="P49" s="61"/>
      <c r="Q49" s="61"/>
      <c r="R49" s="61"/>
      <c r="S49" s="62"/>
      <c r="T49" s="9"/>
      <c r="U49" s="9"/>
      <c r="V49" s="9"/>
      <c r="W49" s="9"/>
      <c r="X49" s="9"/>
      <c r="Y49" s="9"/>
      <c r="Z49" s="9"/>
      <c r="AA49" s="9"/>
      <c r="AB49" s="9"/>
      <c r="AD49" s="59"/>
      <c r="AE49" s="61"/>
      <c r="AF49" s="61"/>
      <c r="AG49" s="61"/>
      <c r="AH49" s="61"/>
      <c r="AI49" s="29"/>
      <c r="AJ49" s="29"/>
      <c r="AK49" s="61"/>
      <c r="AL49" s="61"/>
      <c r="AM49" s="61"/>
      <c r="AN49" s="61"/>
      <c r="AO49" s="29">
        <f t="shared" si="30"/>
        <v>0</v>
      </c>
      <c r="AP49" s="29">
        <f t="shared" si="30"/>
        <v>0</v>
      </c>
      <c r="AQ49" s="61"/>
      <c r="AR49" s="61"/>
      <c r="AS49" s="61"/>
      <c r="AT49" s="61"/>
      <c r="AU49" s="29">
        <f t="shared" si="31"/>
        <v>0</v>
      </c>
      <c r="AV49" s="29">
        <f t="shared" si="31"/>
        <v>0</v>
      </c>
    </row>
    <row r="50" spans="1:48" s="1" customFormat="1" ht="13.5" customHeight="1">
      <c r="A50" s="9">
        <v>19</v>
      </c>
      <c r="B50" s="46" t="s">
        <v>31</v>
      </c>
      <c r="C50" s="44"/>
      <c r="D50" s="29">
        <v>8395469</v>
      </c>
      <c r="E50" s="29">
        <v>29512321</v>
      </c>
      <c r="F50" s="29">
        <v>2917391</v>
      </c>
      <c r="G50" s="29">
        <v>388082</v>
      </c>
      <c r="H50" s="29">
        <v>2699654</v>
      </c>
      <c r="I50" s="29">
        <v>123492</v>
      </c>
      <c r="J50" s="29">
        <v>1504570</v>
      </c>
      <c r="K50" s="29"/>
      <c r="L50" s="29">
        <v>26656496</v>
      </c>
      <c r="M50" s="29">
        <v>1016489</v>
      </c>
      <c r="N50" s="29">
        <v>15553</v>
      </c>
      <c r="O50" s="29">
        <v>109529</v>
      </c>
      <c r="P50" s="29">
        <v>1037</v>
      </c>
      <c r="Q50" s="29">
        <f>147829+7</f>
        <v>147836</v>
      </c>
      <c r="R50" s="29">
        <f>2321936+5725</f>
        <v>2327661</v>
      </c>
      <c r="S50" s="49">
        <v>19</v>
      </c>
      <c r="T50" s="9"/>
      <c r="U50" s="9"/>
      <c r="V50" s="9"/>
      <c r="W50" s="9"/>
      <c r="X50" s="9"/>
      <c r="Y50" s="9"/>
      <c r="Z50" s="9"/>
      <c r="AA50" s="9"/>
      <c r="AB50" s="9"/>
      <c r="AD50" s="46" t="s">
        <v>31</v>
      </c>
      <c r="AE50" s="29">
        <v>2989335</v>
      </c>
      <c r="AF50" s="29">
        <v>398191</v>
      </c>
      <c r="AG50" s="29">
        <v>0</v>
      </c>
      <c r="AH50" s="29">
        <v>0</v>
      </c>
      <c r="AI50" s="29">
        <f aca="true" t="shared" si="32" ref="AI50:AI59">AE50+AG50</f>
        <v>2989335</v>
      </c>
      <c r="AJ50" s="29">
        <f aca="true" t="shared" si="33" ref="AJ50:AJ59">AF50+AH50</f>
        <v>398191</v>
      </c>
      <c r="AK50" s="29">
        <v>2705046</v>
      </c>
      <c r="AL50" s="29">
        <v>123729</v>
      </c>
      <c r="AM50" s="29">
        <v>0</v>
      </c>
      <c r="AN50" s="29">
        <v>0</v>
      </c>
      <c r="AO50" s="29">
        <f t="shared" si="30"/>
        <v>2705046</v>
      </c>
      <c r="AP50" s="29">
        <f t="shared" si="30"/>
        <v>123729</v>
      </c>
      <c r="AQ50" s="29">
        <v>1022615</v>
      </c>
      <c r="AR50" s="29">
        <v>15644</v>
      </c>
      <c r="AS50" s="29"/>
      <c r="AT50" s="29"/>
      <c r="AU50" s="29">
        <f t="shared" si="31"/>
        <v>1022615</v>
      </c>
      <c r="AV50" s="29">
        <f t="shared" si="31"/>
        <v>15644</v>
      </c>
    </row>
    <row r="51" spans="1:48" s="1" customFormat="1" ht="13.5" customHeight="1">
      <c r="A51" s="9">
        <v>20</v>
      </c>
      <c r="B51" s="46" t="s">
        <v>84</v>
      </c>
      <c r="C51" s="44"/>
      <c r="D51" s="29">
        <v>11808477</v>
      </c>
      <c r="E51" s="29">
        <v>5369528</v>
      </c>
      <c r="F51" s="29">
        <v>770090</v>
      </c>
      <c r="G51" s="29">
        <v>87289</v>
      </c>
      <c r="H51" s="29">
        <v>2261991</v>
      </c>
      <c r="I51" s="29">
        <v>96465</v>
      </c>
      <c r="J51" s="29">
        <v>547887</v>
      </c>
      <c r="K51" s="29"/>
      <c r="L51" s="29">
        <v>4888090</v>
      </c>
      <c r="M51" s="29">
        <v>6829308</v>
      </c>
      <c r="N51" s="29">
        <v>77581</v>
      </c>
      <c r="O51" s="29">
        <v>1195785</v>
      </c>
      <c r="P51" s="29">
        <v>6681</v>
      </c>
      <c r="Q51" s="29">
        <f>203331+85</f>
        <v>203416</v>
      </c>
      <c r="R51" s="29">
        <f>213417+5</f>
        <v>213422</v>
      </c>
      <c r="S51" s="49">
        <v>20</v>
      </c>
      <c r="T51" s="9"/>
      <c r="U51" s="9"/>
      <c r="V51" s="9"/>
      <c r="W51" s="9"/>
      <c r="X51" s="9"/>
      <c r="Y51" s="9"/>
      <c r="Z51" s="9"/>
      <c r="AA51" s="9"/>
      <c r="AB51" s="9"/>
      <c r="AD51" s="46" t="s">
        <v>84</v>
      </c>
      <c r="AE51" s="29">
        <v>774555</v>
      </c>
      <c r="AF51" s="29">
        <v>87772</v>
      </c>
      <c r="AG51" s="29">
        <v>0</v>
      </c>
      <c r="AH51" s="29">
        <v>0</v>
      </c>
      <c r="AI51" s="29">
        <f t="shared" si="32"/>
        <v>774555</v>
      </c>
      <c r="AJ51" s="29">
        <f t="shared" si="33"/>
        <v>87772</v>
      </c>
      <c r="AK51" s="29">
        <v>2271510</v>
      </c>
      <c r="AL51" s="29">
        <v>96694</v>
      </c>
      <c r="AM51" s="29">
        <v>0</v>
      </c>
      <c r="AN51" s="29">
        <v>0</v>
      </c>
      <c r="AO51" s="29">
        <f t="shared" si="30"/>
        <v>2271510</v>
      </c>
      <c r="AP51" s="29">
        <f t="shared" si="30"/>
        <v>96694</v>
      </c>
      <c r="AQ51" s="29">
        <v>6830673</v>
      </c>
      <c r="AR51" s="29">
        <v>77598</v>
      </c>
      <c r="AS51" s="29"/>
      <c r="AT51" s="29"/>
      <c r="AU51" s="29">
        <f t="shared" si="31"/>
        <v>6830673</v>
      </c>
      <c r="AV51" s="29">
        <f t="shared" si="31"/>
        <v>77598</v>
      </c>
    </row>
    <row r="52" spans="1:48" s="1" customFormat="1" ht="13.5" customHeight="1">
      <c r="A52" s="9">
        <v>21</v>
      </c>
      <c r="B52" s="46" t="s">
        <v>32</v>
      </c>
      <c r="C52" s="44"/>
      <c r="D52" s="29">
        <v>21300485</v>
      </c>
      <c r="E52" s="29">
        <v>14065817</v>
      </c>
      <c r="F52" s="29">
        <v>4362185</v>
      </c>
      <c r="G52" s="29">
        <v>549331</v>
      </c>
      <c r="H52" s="29">
        <v>4646327</v>
      </c>
      <c r="I52" s="29">
        <v>222626</v>
      </c>
      <c r="J52" s="29">
        <v>1166464</v>
      </c>
      <c r="K52" s="29"/>
      <c r="L52" s="29">
        <v>11256460</v>
      </c>
      <c r="M52" s="29">
        <v>8921592</v>
      </c>
      <c r="N52" s="29">
        <v>114763</v>
      </c>
      <c r="O52" s="29">
        <v>1863066</v>
      </c>
      <c r="P52" s="29">
        <v>5993</v>
      </c>
      <c r="Q52" s="29">
        <f>334243+185+6423</f>
        <v>340851</v>
      </c>
      <c r="R52" s="29">
        <f>1903174+13194+276</f>
        <v>1916644</v>
      </c>
      <c r="S52" s="49">
        <v>21</v>
      </c>
      <c r="T52" s="9"/>
      <c r="U52" s="9"/>
      <c r="V52" s="9"/>
      <c r="W52" s="9"/>
      <c r="X52" s="9"/>
      <c r="Y52" s="9"/>
      <c r="Z52" s="9"/>
      <c r="AA52" s="9"/>
      <c r="AB52" s="9"/>
      <c r="AD52" s="46" t="s">
        <v>32</v>
      </c>
      <c r="AE52" s="29">
        <v>4462670</v>
      </c>
      <c r="AF52" s="29">
        <v>560933</v>
      </c>
      <c r="AG52" s="29">
        <v>0</v>
      </c>
      <c r="AH52" s="29">
        <v>0</v>
      </c>
      <c r="AI52" s="29">
        <f t="shared" si="32"/>
        <v>4462670</v>
      </c>
      <c r="AJ52" s="29">
        <f t="shared" si="33"/>
        <v>560933</v>
      </c>
      <c r="AK52" s="29">
        <v>4623133</v>
      </c>
      <c r="AL52" s="29">
        <v>220893</v>
      </c>
      <c r="AM52" s="29">
        <v>0</v>
      </c>
      <c r="AN52" s="29">
        <v>0</v>
      </c>
      <c r="AO52" s="29">
        <f t="shared" si="30"/>
        <v>4623133</v>
      </c>
      <c r="AP52" s="29">
        <f t="shared" si="30"/>
        <v>220893</v>
      </c>
      <c r="AQ52" s="29">
        <v>8952249</v>
      </c>
      <c r="AR52" s="29">
        <v>114633</v>
      </c>
      <c r="AS52" s="29"/>
      <c r="AT52" s="29"/>
      <c r="AU52" s="29">
        <f t="shared" si="31"/>
        <v>8952249</v>
      </c>
      <c r="AV52" s="29">
        <f t="shared" si="31"/>
        <v>114633</v>
      </c>
    </row>
    <row r="53" spans="1:48" s="1" customFormat="1" ht="13.5" customHeight="1">
      <c r="A53" s="9">
        <v>22</v>
      </c>
      <c r="B53" s="46" t="s">
        <v>33</v>
      </c>
      <c r="C53" s="44"/>
      <c r="D53" s="29">
        <v>45653735</v>
      </c>
      <c r="E53" s="29">
        <v>19778303</v>
      </c>
      <c r="F53" s="29">
        <v>6943239</v>
      </c>
      <c r="G53" s="29">
        <v>747310</v>
      </c>
      <c r="H53" s="29">
        <v>1893512</v>
      </c>
      <c r="I53" s="29">
        <v>75177</v>
      </c>
      <c r="J53" s="29">
        <v>1430386</v>
      </c>
      <c r="K53" s="29"/>
      <c r="L53" s="29">
        <v>16249486</v>
      </c>
      <c r="M53" s="29">
        <v>30008713</v>
      </c>
      <c r="N53" s="29">
        <v>399445</v>
      </c>
      <c r="O53" s="29">
        <v>4207818</v>
      </c>
      <c r="P53" s="29">
        <v>36742</v>
      </c>
      <c r="Q53" s="29">
        <f>1169895+172</f>
        <v>1170067</v>
      </c>
      <c r="R53" s="29">
        <f>2216508+53635</f>
        <v>2270143</v>
      </c>
      <c r="S53" s="49">
        <v>22</v>
      </c>
      <c r="T53" s="9"/>
      <c r="U53" s="9"/>
      <c r="V53" s="9"/>
      <c r="W53" s="9"/>
      <c r="X53" s="9"/>
      <c r="Y53" s="9"/>
      <c r="Z53" s="9"/>
      <c r="AA53" s="9"/>
      <c r="AB53" s="9"/>
      <c r="AD53" s="46" t="s">
        <v>33</v>
      </c>
      <c r="AE53" s="29">
        <v>7032328</v>
      </c>
      <c r="AF53" s="29">
        <v>756855</v>
      </c>
      <c r="AG53" s="29">
        <v>0</v>
      </c>
      <c r="AH53" s="29">
        <v>0</v>
      </c>
      <c r="AI53" s="29">
        <f t="shared" si="32"/>
        <v>7032328</v>
      </c>
      <c r="AJ53" s="29">
        <f t="shared" si="33"/>
        <v>756855</v>
      </c>
      <c r="AK53" s="29">
        <v>1896875</v>
      </c>
      <c r="AL53" s="29">
        <v>74905</v>
      </c>
      <c r="AM53" s="29">
        <v>0</v>
      </c>
      <c r="AN53" s="29">
        <v>0</v>
      </c>
      <c r="AO53" s="29">
        <f t="shared" si="30"/>
        <v>1896875</v>
      </c>
      <c r="AP53" s="29">
        <f t="shared" si="30"/>
        <v>74905</v>
      </c>
      <c r="AQ53" s="29">
        <v>29737141</v>
      </c>
      <c r="AR53" s="29">
        <v>400220</v>
      </c>
      <c r="AS53" s="29"/>
      <c r="AT53" s="29"/>
      <c r="AU53" s="29">
        <f t="shared" si="31"/>
        <v>29737141</v>
      </c>
      <c r="AV53" s="29">
        <f t="shared" si="31"/>
        <v>400220</v>
      </c>
    </row>
    <row r="54" spans="1:48" s="1" customFormat="1" ht="13.5" customHeight="1">
      <c r="A54" s="9">
        <v>23</v>
      </c>
      <c r="B54" s="46" t="s">
        <v>34</v>
      </c>
      <c r="C54" s="44"/>
      <c r="D54" s="29">
        <v>24247858</v>
      </c>
      <c r="E54" s="29">
        <v>7540542</v>
      </c>
      <c r="F54" s="29">
        <v>6906082</v>
      </c>
      <c r="G54" s="29">
        <v>719305</v>
      </c>
      <c r="H54" s="29">
        <v>2130819</v>
      </c>
      <c r="I54" s="29">
        <v>65254</v>
      </c>
      <c r="J54" s="29">
        <v>1152393</v>
      </c>
      <c r="K54" s="29"/>
      <c r="L54" s="29">
        <v>6143461</v>
      </c>
      <c r="M54" s="29">
        <f>12032082+12476</f>
        <v>12044558</v>
      </c>
      <c r="N54" s="29">
        <f>126770+4200</f>
        <v>130970</v>
      </c>
      <c r="O54" s="29">
        <v>1742294</v>
      </c>
      <c r="P54" s="29">
        <v>8680</v>
      </c>
      <c r="Q54" s="29">
        <f>271662+50</f>
        <v>271712</v>
      </c>
      <c r="R54" s="29">
        <f>468571+4301</f>
        <v>472872</v>
      </c>
      <c r="S54" s="49">
        <v>23</v>
      </c>
      <c r="T54" s="9"/>
      <c r="U54" s="9"/>
      <c r="V54" s="9"/>
      <c r="W54" s="9"/>
      <c r="X54" s="9"/>
      <c r="Y54" s="9"/>
      <c r="Z54" s="9"/>
      <c r="AA54" s="9"/>
      <c r="AB54" s="9"/>
      <c r="AD54" s="46" t="s">
        <v>34</v>
      </c>
      <c r="AE54" s="29">
        <v>6936746</v>
      </c>
      <c r="AF54" s="29">
        <v>721552</v>
      </c>
      <c r="AG54" s="29">
        <v>523</v>
      </c>
      <c r="AH54" s="29">
        <v>851</v>
      </c>
      <c r="AI54" s="29">
        <f t="shared" si="32"/>
        <v>6937269</v>
      </c>
      <c r="AJ54" s="29">
        <f t="shared" si="33"/>
        <v>722403</v>
      </c>
      <c r="AK54" s="29">
        <v>2219225</v>
      </c>
      <c r="AL54" s="29">
        <v>68067</v>
      </c>
      <c r="AM54" s="29">
        <v>0</v>
      </c>
      <c r="AN54" s="29">
        <v>0</v>
      </c>
      <c r="AO54" s="29">
        <f t="shared" si="30"/>
        <v>2219225</v>
      </c>
      <c r="AP54" s="29">
        <f t="shared" si="30"/>
        <v>68067</v>
      </c>
      <c r="AQ54" s="29">
        <v>11958366</v>
      </c>
      <c r="AR54" s="29">
        <v>125648</v>
      </c>
      <c r="AS54" s="29">
        <v>12476</v>
      </c>
      <c r="AT54" s="29">
        <v>4200</v>
      </c>
      <c r="AU54" s="29">
        <f t="shared" si="31"/>
        <v>11970842</v>
      </c>
      <c r="AV54" s="29">
        <f t="shared" si="31"/>
        <v>129848</v>
      </c>
    </row>
    <row r="55" spans="1:48" s="1" customFormat="1" ht="9.75" customHeight="1">
      <c r="A55" s="9"/>
      <c r="B55" s="46"/>
      <c r="C55" s="44"/>
      <c r="F55" s="29"/>
      <c r="G55" s="29"/>
      <c r="J55" s="29"/>
      <c r="K55" s="29"/>
      <c r="L55" s="29"/>
      <c r="S55" s="49"/>
      <c r="T55" s="9"/>
      <c r="U55" s="9"/>
      <c r="V55" s="9"/>
      <c r="W55" s="9"/>
      <c r="X55" s="9"/>
      <c r="Y55" s="9"/>
      <c r="Z55" s="9"/>
      <c r="AA55" s="9"/>
      <c r="AB55" s="9"/>
      <c r="AD55" s="46"/>
      <c r="AE55" s="29"/>
      <c r="AF55" s="29"/>
      <c r="AG55" s="29"/>
      <c r="AH55" s="29"/>
      <c r="AI55" s="29">
        <f t="shared" si="32"/>
        <v>0</v>
      </c>
      <c r="AJ55" s="29">
        <f t="shared" si="33"/>
        <v>0</v>
      </c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</row>
    <row r="56" spans="1:48" s="1" customFormat="1" ht="13.5" customHeight="1">
      <c r="A56" s="9">
        <v>24</v>
      </c>
      <c r="B56" s="46" t="s">
        <v>35</v>
      </c>
      <c r="C56" s="44"/>
      <c r="D56" s="29">
        <v>15336733</v>
      </c>
      <c r="E56" s="29">
        <v>22643830</v>
      </c>
      <c r="F56" s="29">
        <f>4198784+1265</f>
        <v>4200049</v>
      </c>
      <c r="G56" s="29">
        <f>520690+25254</f>
        <v>545944</v>
      </c>
      <c r="H56" s="29">
        <v>5592238</v>
      </c>
      <c r="I56" s="29">
        <v>380858</v>
      </c>
      <c r="J56" s="29">
        <v>1776151</v>
      </c>
      <c r="K56" s="29"/>
      <c r="L56" s="29">
        <v>20623872</v>
      </c>
      <c r="M56" s="29">
        <v>2942619</v>
      </c>
      <c r="N56" s="29">
        <v>51302</v>
      </c>
      <c r="O56" s="29">
        <v>458395</v>
      </c>
      <c r="P56" s="29">
        <v>3546</v>
      </c>
      <c r="Q56" s="29">
        <f>366607+674</f>
        <v>367281</v>
      </c>
      <c r="R56" s="29">
        <f>1038307+1</f>
        <v>1038308</v>
      </c>
      <c r="S56" s="49">
        <v>24</v>
      </c>
      <c r="T56" s="9"/>
      <c r="U56" s="9"/>
      <c r="V56" s="9"/>
      <c r="W56" s="9"/>
      <c r="X56" s="9"/>
      <c r="Y56" s="9"/>
      <c r="Z56" s="9"/>
      <c r="AA56" s="9"/>
      <c r="AB56" s="9"/>
      <c r="AD56" s="46" t="s">
        <v>35</v>
      </c>
      <c r="AE56" s="29">
        <v>4270162</v>
      </c>
      <c r="AF56" s="29">
        <v>529723</v>
      </c>
      <c r="AG56" s="29">
        <v>1265</v>
      </c>
      <c r="AH56" s="29">
        <v>25254</v>
      </c>
      <c r="AI56" s="29">
        <f t="shared" si="32"/>
        <v>4271427</v>
      </c>
      <c r="AJ56" s="29">
        <f t="shared" si="33"/>
        <v>554977</v>
      </c>
      <c r="AK56" s="29">
        <v>5645480</v>
      </c>
      <c r="AL56" s="29">
        <v>383189</v>
      </c>
      <c r="AM56" s="29">
        <v>0</v>
      </c>
      <c r="AN56" s="29">
        <v>0</v>
      </c>
      <c r="AO56" s="29">
        <f aca="true" t="shared" si="34" ref="AO56:AP59">AK56+AM56</f>
        <v>5645480</v>
      </c>
      <c r="AP56" s="29">
        <f t="shared" si="34"/>
        <v>383189</v>
      </c>
      <c r="AQ56" s="29">
        <v>2871767</v>
      </c>
      <c r="AR56" s="29">
        <v>50165</v>
      </c>
      <c r="AS56" s="29"/>
      <c r="AT56" s="29"/>
      <c r="AU56" s="29">
        <f aca="true" t="shared" si="35" ref="AU56:AV59">AQ56+AS56</f>
        <v>2871767</v>
      </c>
      <c r="AV56" s="29">
        <f t="shared" si="35"/>
        <v>50165</v>
      </c>
    </row>
    <row r="57" spans="1:48" s="1" customFormat="1" ht="13.5" customHeight="1">
      <c r="A57" s="9">
        <v>25</v>
      </c>
      <c r="B57" s="46" t="s">
        <v>36</v>
      </c>
      <c r="C57" s="44"/>
      <c r="D57" s="29">
        <v>27814828</v>
      </c>
      <c r="E57" s="29">
        <v>22133310</v>
      </c>
      <c r="F57" s="29">
        <v>5289205</v>
      </c>
      <c r="G57" s="29">
        <v>750021</v>
      </c>
      <c r="H57" s="29">
        <v>11228941</v>
      </c>
      <c r="I57" s="29">
        <v>614152</v>
      </c>
      <c r="J57" s="29">
        <v>2277552</v>
      </c>
      <c r="K57" s="29"/>
      <c r="L57" s="29">
        <v>19632617</v>
      </c>
      <c r="M57" s="29">
        <v>7937065</v>
      </c>
      <c r="N57" s="29">
        <v>132071</v>
      </c>
      <c r="O57" s="29">
        <v>644569</v>
      </c>
      <c r="P57" s="29">
        <v>6168</v>
      </c>
      <c r="Q57" s="29">
        <f>436894+3+599</f>
        <v>437496</v>
      </c>
      <c r="R57" s="29">
        <f>998274+1+6</f>
        <v>998281</v>
      </c>
      <c r="S57" s="49">
        <v>25</v>
      </c>
      <c r="T57" s="9"/>
      <c r="U57" s="9"/>
      <c r="V57" s="9"/>
      <c r="W57" s="9"/>
      <c r="X57" s="9"/>
      <c r="Y57" s="9"/>
      <c r="Z57" s="9"/>
      <c r="AA57" s="9"/>
      <c r="AB57" s="9"/>
      <c r="AD57" s="46" t="s">
        <v>36</v>
      </c>
      <c r="AE57" s="29">
        <v>5319905</v>
      </c>
      <c r="AF57" s="29">
        <v>754099</v>
      </c>
      <c r="AG57" s="29">
        <v>0</v>
      </c>
      <c r="AH57" s="29">
        <v>0</v>
      </c>
      <c r="AI57" s="29">
        <f t="shared" si="32"/>
        <v>5319905</v>
      </c>
      <c r="AJ57" s="29">
        <f t="shared" si="33"/>
        <v>754099</v>
      </c>
      <c r="AK57" s="29">
        <v>11092746</v>
      </c>
      <c r="AL57" s="29">
        <v>611534</v>
      </c>
      <c r="AM57" s="29">
        <v>0</v>
      </c>
      <c r="AN57" s="29">
        <v>0</v>
      </c>
      <c r="AO57" s="29">
        <f t="shared" si="34"/>
        <v>11092746</v>
      </c>
      <c r="AP57" s="29">
        <f t="shared" si="34"/>
        <v>611534</v>
      </c>
      <c r="AQ57" s="29">
        <v>7897790</v>
      </c>
      <c r="AR57" s="29">
        <v>131085</v>
      </c>
      <c r="AS57" s="29"/>
      <c r="AT57" s="29"/>
      <c r="AU57" s="29">
        <f t="shared" si="35"/>
        <v>7897790</v>
      </c>
      <c r="AV57" s="29">
        <f t="shared" si="35"/>
        <v>131085</v>
      </c>
    </row>
    <row r="58" spans="1:48" s="1" customFormat="1" ht="13.5" customHeight="1">
      <c r="A58" s="9">
        <v>26</v>
      </c>
      <c r="B58" s="46" t="s">
        <v>37</v>
      </c>
      <c r="C58" s="44"/>
      <c r="D58" s="29">
        <v>39764937</v>
      </c>
      <c r="E58" s="29">
        <v>47638497</v>
      </c>
      <c r="F58" s="29">
        <f>10009449+10526</f>
        <v>10019975</v>
      </c>
      <c r="G58" s="29">
        <f>1288322+197252</f>
        <v>1485574</v>
      </c>
      <c r="H58" s="29">
        <f>11202863+2294</f>
        <v>11205157</v>
      </c>
      <c r="I58" s="29">
        <f>453072+23875</f>
        <v>476947</v>
      </c>
      <c r="J58" s="29">
        <v>3362981</v>
      </c>
      <c r="K58" s="29"/>
      <c r="L58" s="29">
        <v>45080592</v>
      </c>
      <c r="M58" s="29">
        <v>13458046</v>
      </c>
      <c r="N58" s="29">
        <v>193366</v>
      </c>
      <c r="O58" s="29">
        <v>1353286</v>
      </c>
      <c r="P58" s="29">
        <v>10382</v>
      </c>
      <c r="Q58" s="29">
        <f>352355+1020+12117</f>
        <v>365492</v>
      </c>
      <c r="R58" s="29">
        <f>391331+6+299</f>
        <v>391636</v>
      </c>
      <c r="S58" s="64">
        <v>26</v>
      </c>
      <c r="T58" s="9"/>
      <c r="U58" s="9"/>
      <c r="V58" s="9"/>
      <c r="W58" s="9"/>
      <c r="X58" s="9"/>
      <c r="Y58" s="9"/>
      <c r="Z58" s="9"/>
      <c r="AA58" s="9"/>
      <c r="AB58" s="9"/>
      <c r="AD58" s="46" t="s">
        <v>37</v>
      </c>
      <c r="AE58" s="29">
        <v>10095904</v>
      </c>
      <c r="AF58" s="29">
        <v>1308455</v>
      </c>
      <c r="AG58" s="29">
        <v>10526</v>
      </c>
      <c r="AH58" s="29">
        <v>256159</v>
      </c>
      <c r="AI58" s="29">
        <f t="shared" si="32"/>
        <v>10106430</v>
      </c>
      <c r="AJ58" s="29">
        <f t="shared" si="33"/>
        <v>1564614</v>
      </c>
      <c r="AK58" s="29">
        <v>11304175</v>
      </c>
      <c r="AL58" s="29">
        <v>457609</v>
      </c>
      <c r="AM58" s="29">
        <v>2437</v>
      </c>
      <c r="AN58" s="29">
        <v>25006</v>
      </c>
      <c r="AO58" s="29">
        <f t="shared" si="34"/>
        <v>11306612</v>
      </c>
      <c r="AP58" s="29">
        <f t="shared" si="34"/>
        <v>482615</v>
      </c>
      <c r="AQ58" s="29">
        <v>13505961</v>
      </c>
      <c r="AR58" s="29">
        <v>194372</v>
      </c>
      <c r="AS58" s="29"/>
      <c r="AT58" s="29"/>
      <c r="AU58" s="29">
        <f t="shared" si="35"/>
        <v>13505961</v>
      </c>
      <c r="AV58" s="29">
        <f t="shared" si="35"/>
        <v>194372</v>
      </c>
    </row>
    <row r="59" spans="1:48" s="1" customFormat="1" ht="13.5" customHeight="1">
      <c r="A59" s="9">
        <v>27</v>
      </c>
      <c r="B59" s="46" t="s">
        <v>38</v>
      </c>
      <c r="C59" s="44"/>
      <c r="D59" s="29">
        <v>21574568</v>
      </c>
      <c r="E59" s="29">
        <v>16896199</v>
      </c>
      <c r="F59" s="29">
        <f>5335513+600</f>
        <v>5336113</v>
      </c>
      <c r="G59" s="29">
        <f>663165+2145</f>
        <v>665310</v>
      </c>
      <c r="H59" s="29">
        <f>4701948+1657</f>
        <v>4703605</v>
      </c>
      <c r="I59" s="29">
        <f>220906+17253</f>
        <v>238159</v>
      </c>
      <c r="J59" s="29">
        <v>1411272</v>
      </c>
      <c r="K59" s="29"/>
      <c r="L59" s="29">
        <v>15118446</v>
      </c>
      <c r="M59" s="29">
        <v>9353061</v>
      </c>
      <c r="N59" s="29">
        <v>181907</v>
      </c>
      <c r="O59" s="29">
        <v>493875</v>
      </c>
      <c r="P59" s="29">
        <v>6469</v>
      </c>
      <c r="Q59" s="29">
        <v>276642</v>
      </c>
      <c r="R59" s="29">
        <v>685908</v>
      </c>
      <c r="S59" s="64">
        <v>27</v>
      </c>
      <c r="T59" s="9"/>
      <c r="U59" s="9"/>
      <c r="V59" s="9"/>
      <c r="W59" s="9"/>
      <c r="X59" s="9"/>
      <c r="Y59" s="9"/>
      <c r="Z59" s="9"/>
      <c r="AA59" s="9"/>
      <c r="AB59" s="9"/>
      <c r="AD59" s="46" t="s">
        <v>38</v>
      </c>
      <c r="AE59" s="29">
        <v>5447442</v>
      </c>
      <c r="AF59" s="29">
        <v>677337</v>
      </c>
      <c r="AG59" s="29">
        <v>600</v>
      </c>
      <c r="AH59" s="29">
        <v>2179</v>
      </c>
      <c r="AI59" s="29">
        <f t="shared" si="32"/>
        <v>5448042</v>
      </c>
      <c r="AJ59" s="29">
        <f t="shared" si="33"/>
        <v>679516</v>
      </c>
      <c r="AK59" s="29">
        <v>4860086</v>
      </c>
      <c r="AL59" s="29">
        <v>229423</v>
      </c>
      <c r="AM59" s="29">
        <v>1657</v>
      </c>
      <c r="AN59" s="29">
        <v>16849</v>
      </c>
      <c r="AO59" s="29">
        <f t="shared" si="34"/>
        <v>4861743</v>
      </c>
      <c r="AP59" s="29">
        <f t="shared" si="34"/>
        <v>246272</v>
      </c>
      <c r="AQ59" s="29">
        <v>9425145</v>
      </c>
      <c r="AR59" s="29">
        <v>183381</v>
      </c>
      <c r="AS59" s="29"/>
      <c r="AT59" s="29"/>
      <c r="AU59" s="29">
        <f t="shared" si="35"/>
        <v>9425145</v>
      </c>
      <c r="AV59" s="29">
        <f t="shared" si="35"/>
        <v>183381</v>
      </c>
    </row>
    <row r="60" spans="1:48" s="1" customFormat="1" ht="8.25" customHeight="1">
      <c r="A60" s="9"/>
      <c r="B60" s="46"/>
      <c r="C60" s="44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64"/>
      <c r="T60" s="9"/>
      <c r="U60" s="9"/>
      <c r="V60" s="9"/>
      <c r="W60" s="9"/>
      <c r="X60" s="9"/>
      <c r="Y60" s="9"/>
      <c r="Z60" s="9"/>
      <c r="AA60" s="9"/>
      <c r="AB60" s="9"/>
      <c r="AD60" s="46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</row>
    <row r="61" spans="1:48" s="36" customFormat="1" ht="12.75" customHeight="1">
      <c r="A61" s="54" t="s">
        <v>39</v>
      </c>
      <c r="B61" s="55" t="s">
        <v>40</v>
      </c>
      <c r="C61" s="40"/>
      <c r="D61" s="33">
        <f aca="true" t="shared" si="36" ref="D61:J61">SUM(D63:D71)</f>
        <v>213764244</v>
      </c>
      <c r="E61" s="33">
        <f t="shared" si="36"/>
        <v>152156302</v>
      </c>
      <c r="F61" s="33">
        <f t="shared" si="36"/>
        <v>45799931</v>
      </c>
      <c r="G61" s="33">
        <f t="shared" si="36"/>
        <v>7017902</v>
      </c>
      <c r="H61" s="33">
        <f t="shared" si="36"/>
        <v>32160123</v>
      </c>
      <c r="I61" s="33">
        <f t="shared" si="36"/>
        <v>1725552</v>
      </c>
      <c r="J61" s="33">
        <f t="shared" si="36"/>
        <v>12794081</v>
      </c>
      <c r="K61" s="33"/>
      <c r="L61" s="33">
        <f aca="true" t="shared" si="37" ref="L61:Q61">SUM(L63:L71)</f>
        <v>130336359</v>
      </c>
      <c r="M61" s="33">
        <f t="shared" si="37"/>
        <v>98170098</v>
      </c>
      <c r="N61" s="33">
        <f t="shared" si="37"/>
        <v>1359602</v>
      </c>
      <c r="O61" s="33">
        <f t="shared" si="37"/>
        <v>18267096</v>
      </c>
      <c r="P61" s="33">
        <f t="shared" si="37"/>
        <v>194783</v>
      </c>
      <c r="Q61" s="33">
        <f t="shared" si="37"/>
        <v>6572915</v>
      </c>
      <c r="R61" s="33">
        <f>SUM(R63:R71)</f>
        <v>11522104</v>
      </c>
      <c r="S61" s="65" t="s">
        <v>39</v>
      </c>
      <c r="T61" s="35"/>
      <c r="U61" s="35"/>
      <c r="V61" s="35"/>
      <c r="W61" s="35"/>
      <c r="X61" s="35"/>
      <c r="Y61" s="35"/>
      <c r="Z61" s="35"/>
      <c r="AA61" s="35"/>
      <c r="AB61" s="35"/>
      <c r="AD61" s="55" t="s">
        <v>40</v>
      </c>
      <c r="AE61" s="33">
        <f>SUM(AE63:AE71)</f>
        <v>45978880</v>
      </c>
      <c r="AF61" s="33">
        <f>SUM(AF63:AF71)</f>
        <v>5463353</v>
      </c>
      <c r="AG61" s="33">
        <f>SUM(AG63:AG71)</f>
        <v>102226</v>
      </c>
      <c r="AH61" s="33">
        <f>SUM(AH63:AH71)</f>
        <v>1469935</v>
      </c>
      <c r="AI61" s="29">
        <f>AE61+AG61</f>
        <v>46081106</v>
      </c>
      <c r="AJ61" s="29">
        <f>AF61+AH61</f>
        <v>6933288</v>
      </c>
      <c r="AK61" s="33">
        <f>SUM(AK63:AK71)</f>
        <v>32294615</v>
      </c>
      <c r="AL61" s="33">
        <f>SUM(AL63:AL71)</f>
        <v>1150139</v>
      </c>
      <c r="AM61" s="33">
        <f>SUM(AM63:AM71)</f>
        <v>36073</v>
      </c>
      <c r="AN61" s="33">
        <f>SUM(AN63:AN71)</f>
        <v>540515</v>
      </c>
      <c r="AO61" s="29">
        <f>AK61+AM61</f>
        <v>32330688</v>
      </c>
      <c r="AP61" s="29">
        <f>AL61+AN61</f>
        <v>1690654</v>
      </c>
      <c r="AQ61" s="33">
        <f>SUM(AQ63:AQ71)</f>
        <v>98387298</v>
      </c>
      <c r="AR61" s="33">
        <f>SUM(AR63:AR71)</f>
        <v>1362728</v>
      </c>
      <c r="AS61" s="33">
        <f>SUM(AS63:AS71)</f>
        <v>0</v>
      </c>
      <c r="AT61" s="33">
        <f>SUM(AT63:AT71)</f>
        <v>0</v>
      </c>
      <c r="AU61" s="29">
        <f>AQ61+AS61</f>
        <v>98387298</v>
      </c>
      <c r="AV61" s="29">
        <f>AR61+AT61</f>
        <v>1362728</v>
      </c>
    </row>
    <row r="62" spans="1:48" s="1" customFormat="1" ht="7.5" customHeight="1">
      <c r="A62" s="58"/>
      <c r="B62" s="59"/>
      <c r="C62" s="60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6"/>
      <c r="T62" s="9"/>
      <c r="U62" s="9"/>
      <c r="V62" s="9"/>
      <c r="W62" s="9"/>
      <c r="X62" s="9"/>
      <c r="Y62" s="9"/>
      <c r="Z62" s="9"/>
      <c r="AA62" s="9"/>
      <c r="AB62" s="9"/>
      <c r="AD62" s="59"/>
      <c r="AE62" s="61"/>
      <c r="AF62" s="61"/>
      <c r="AG62" s="61"/>
      <c r="AH62" s="61"/>
      <c r="AI62" s="29"/>
      <c r="AJ62" s="29"/>
      <c r="AK62" s="61"/>
      <c r="AL62" s="61"/>
      <c r="AM62" s="61"/>
      <c r="AN62" s="61"/>
      <c r="AO62" s="29"/>
      <c r="AP62" s="29"/>
      <c r="AQ62" s="61"/>
      <c r="AR62" s="61"/>
      <c r="AS62" s="61"/>
      <c r="AT62" s="61"/>
      <c r="AU62" s="29"/>
      <c r="AV62" s="29"/>
    </row>
    <row r="63" spans="1:48" s="1" customFormat="1" ht="13.5" customHeight="1">
      <c r="A63" s="9">
        <v>28</v>
      </c>
      <c r="B63" s="46" t="s">
        <v>41</v>
      </c>
      <c r="C63" s="44"/>
      <c r="D63" s="29">
        <v>45444486</v>
      </c>
      <c r="E63" s="29">
        <v>15434746</v>
      </c>
      <c r="F63" s="29">
        <f>7446487+2291</f>
        <v>7448778</v>
      </c>
      <c r="G63" s="29">
        <f>804734+14197</f>
        <v>818931</v>
      </c>
      <c r="H63" s="29">
        <f>1257806+891</f>
        <v>1258697</v>
      </c>
      <c r="I63" s="29">
        <f>50077+5483</f>
        <v>55560</v>
      </c>
      <c r="J63" s="29">
        <v>1587239</v>
      </c>
      <c r="K63" s="29"/>
      <c r="L63" s="29">
        <v>14005840</v>
      </c>
      <c r="M63" s="29">
        <v>29765081</v>
      </c>
      <c r="N63" s="29">
        <v>347349</v>
      </c>
      <c r="O63" s="29">
        <v>5228429</v>
      </c>
      <c r="P63" s="29">
        <v>24003</v>
      </c>
      <c r="Q63" s="29">
        <f>146815+9447</f>
        <v>156262</v>
      </c>
      <c r="R63" s="29">
        <f>182679+384</f>
        <v>183063</v>
      </c>
      <c r="S63" s="64">
        <v>28</v>
      </c>
      <c r="T63" s="9"/>
      <c r="U63" s="9"/>
      <c r="V63" s="9"/>
      <c r="W63" s="9"/>
      <c r="X63" s="9"/>
      <c r="Y63" s="9"/>
      <c r="Z63" s="9"/>
      <c r="AA63" s="9"/>
      <c r="AB63" s="9"/>
      <c r="AD63" s="46" t="s">
        <v>41</v>
      </c>
      <c r="AE63" s="29">
        <v>7494048</v>
      </c>
      <c r="AF63" s="29">
        <v>809508</v>
      </c>
      <c r="AG63" s="29">
        <v>2291</v>
      </c>
      <c r="AH63" s="29">
        <v>14390</v>
      </c>
      <c r="AI63" s="29">
        <f aca="true" t="shared" si="38" ref="AI63:AJ67">AE63+AG63</f>
        <v>7496339</v>
      </c>
      <c r="AJ63" s="29">
        <f t="shared" si="38"/>
        <v>823898</v>
      </c>
      <c r="AK63" s="29">
        <v>1256861</v>
      </c>
      <c r="AL63" s="29">
        <v>49921</v>
      </c>
      <c r="AM63" s="29">
        <v>891</v>
      </c>
      <c r="AN63" s="29">
        <v>5640</v>
      </c>
      <c r="AO63" s="29">
        <f aca="true" t="shared" si="39" ref="AO63:AP67">AK63+AM63</f>
        <v>1257752</v>
      </c>
      <c r="AP63" s="29">
        <f t="shared" si="39"/>
        <v>55561</v>
      </c>
      <c r="AQ63" s="29">
        <v>29882722</v>
      </c>
      <c r="AR63" s="29">
        <v>348785</v>
      </c>
      <c r="AS63" s="29"/>
      <c r="AT63" s="29"/>
      <c r="AU63" s="29">
        <f aca="true" t="shared" si="40" ref="AU63:AV67">AQ63+AS63</f>
        <v>29882722</v>
      </c>
      <c r="AV63" s="29">
        <f t="shared" si="40"/>
        <v>348785</v>
      </c>
    </row>
    <row r="64" spans="1:48" s="1" customFormat="1" ht="13.5" customHeight="1">
      <c r="A64" s="9">
        <v>29</v>
      </c>
      <c r="B64" s="46" t="s">
        <v>42</v>
      </c>
      <c r="C64" s="44"/>
      <c r="D64" s="29">
        <v>21453330</v>
      </c>
      <c r="E64" s="29">
        <v>8149240</v>
      </c>
      <c r="F64" s="29">
        <f>3968628+1008</f>
        <v>3969636</v>
      </c>
      <c r="G64" s="29">
        <f>545441+6378</f>
        <v>551819</v>
      </c>
      <c r="H64" s="29">
        <f>2171257+1869</f>
        <v>2173126</v>
      </c>
      <c r="I64" s="29">
        <f>110908+7097</f>
        <v>118005</v>
      </c>
      <c r="J64" s="29">
        <v>820888</v>
      </c>
      <c r="K64" s="29"/>
      <c r="L64" s="29">
        <v>6744066</v>
      </c>
      <c r="M64" s="29">
        <v>13206113</v>
      </c>
      <c r="N64" s="29">
        <v>169166</v>
      </c>
      <c r="O64" s="29">
        <v>589776</v>
      </c>
      <c r="P64" s="29">
        <v>1528</v>
      </c>
      <c r="Q64" s="29">
        <f>682812+8125+2854</f>
        <v>693791</v>
      </c>
      <c r="R64" s="29">
        <f>563596+1019+41</f>
        <v>564656</v>
      </c>
      <c r="S64" s="64">
        <v>29</v>
      </c>
      <c r="T64" s="9"/>
      <c r="U64" s="9"/>
      <c r="V64" s="9"/>
      <c r="W64" s="9"/>
      <c r="X64" s="9"/>
      <c r="Y64" s="9"/>
      <c r="Z64" s="9"/>
      <c r="AA64" s="9"/>
      <c r="AB64" s="9"/>
      <c r="AD64" s="46" t="s">
        <v>42</v>
      </c>
      <c r="AE64" s="29">
        <v>3985171</v>
      </c>
      <c r="AF64" s="29">
        <v>547637</v>
      </c>
      <c r="AG64" s="29">
        <v>1008</v>
      </c>
      <c r="AH64" s="29">
        <v>6509</v>
      </c>
      <c r="AI64" s="29">
        <f t="shared" si="38"/>
        <v>3986179</v>
      </c>
      <c r="AJ64" s="29">
        <f t="shared" si="38"/>
        <v>554146</v>
      </c>
      <c r="AK64" s="29">
        <v>2171634</v>
      </c>
      <c r="AL64" s="29">
        <v>110966</v>
      </c>
      <c r="AM64" s="29">
        <v>1327</v>
      </c>
      <c r="AN64" s="29">
        <v>6084</v>
      </c>
      <c r="AO64" s="29">
        <f t="shared" si="39"/>
        <v>2172961</v>
      </c>
      <c r="AP64" s="29">
        <f t="shared" si="39"/>
        <v>117050</v>
      </c>
      <c r="AQ64" s="29">
        <v>13218468</v>
      </c>
      <c r="AR64" s="29">
        <v>169352</v>
      </c>
      <c r="AS64" s="29"/>
      <c r="AT64" s="29"/>
      <c r="AU64" s="29">
        <f t="shared" si="40"/>
        <v>13218468</v>
      </c>
      <c r="AV64" s="29">
        <f t="shared" si="40"/>
        <v>169352</v>
      </c>
    </row>
    <row r="65" spans="1:48" s="1" customFormat="1" ht="13.5" customHeight="1">
      <c r="A65" s="9">
        <v>30</v>
      </c>
      <c r="B65" s="46" t="s">
        <v>43</v>
      </c>
      <c r="C65" s="44"/>
      <c r="D65" s="29">
        <v>23826320</v>
      </c>
      <c r="E65" s="29">
        <v>30756132</v>
      </c>
      <c r="F65" s="29">
        <f>6242338+8013</f>
        <v>6250351</v>
      </c>
      <c r="G65" s="29">
        <f>807892+79314</f>
        <v>887206</v>
      </c>
      <c r="H65" s="29">
        <f>2947394+3804</f>
        <v>2951198</v>
      </c>
      <c r="I65" s="29">
        <f>112059+29137</f>
        <v>141196</v>
      </c>
      <c r="J65" s="29">
        <v>1885008</v>
      </c>
      <c r="K65" s="29"/>
      <c r="L65" s="29">
        <v>23165072</v>
      </c>
      <c r="M65" s="29">
        <v>9057920</v>
      </c>
      <c r="N65" s="29">
        <v>140126</v>
      </c>
      <c r="O65" s="29">
        <v>1550491</v>
      </c>
      <c r="P65" s="29">
        <v>74354</v>
      </c>
      <c r="Q65" s="29">
        <f>2131349+3</f>
        <v>2131352</v>
      </c>
      <c r="R65" s="29">
        <f>6346992+1186</f>
        <v>6348178</v>
      </c>
      <c r="S65" s="64">
        <v>30</v>
      </c>
      <c r="T65" s="9"/>
      <c r="U65" s="9"/>
      <c r="V65" s="9"/>
      <c r="W65" s="9"/>
      <c r="X65" s="9"/>
      <c r="Y65" s="9"/>
      <c r="Z65" s="9"/>
      <c r="AA65" s="9"/>
      <c r="AB65" s="9"/>
      <c r="AD65" s="46" t="s">
        <v>43</v>
      </c>
      <c r="AE65" s="29">
        <v>6280671</v>
      </c>
      <c r="AF65" s="29">
        <v>808057</v>
      </c>
      <c r="AG65" s="29">
        <v>7637</v>
      </c>
      <c r="AH65" s="29">
        <v>75326</v>
      </c>
      <c r="AI65" s="29">
        <f t="shared" si="38"/>
        <v>6288308</v>
      </c>
      <c r="AJ65" s="29">
        <f t="shared" si="38"/>
        <v>883383</v>
      </c>
      <c r="AK65" s="29">
        <v>3039910</v>
      </c>
      <c r="AL65" s="29">
        <v>114897</v>
      </c>
      <c r="AM65" s="29">
        <v>3804</v>
      </c>
      <c r="AN65" s="29">
        <v>29553</v>
      </c>
      <c r="AO65" s="29">
        <f t="shared" si="39"/>
        <v>3043714</v>
      </c>
      <c r="AP65" s="29">
        <f t="shared" si="39"/>
        <v>144450</v>
      </c>
      <c r="AQ65" s="29">
        <v>8990574</v>
      </c>
      <c r="AR65" s="29">
        <v>139083</v>
      </c>
      <c r="AS65" s="29"/>
      <c r="AT65" s="29"/>
      <c r="AU65" s="29">
        <f t="shared" si="40"/>
        <v>8990574</v>
      </c>
      <c r="AV65" s="29">
        <f t="shared" si="40"/>
        <v>139083</v>
      </c>
    </row>
    <row r="66" spans="1:48" s="1" customFormat="1" ht="13.5" customHeight="1">
      <c r="A66" s="9">
        <v>31</v>
      </c>
      <c r="B66" s="46" t="s">
        <v>44</v>
      </c>
      <c r="C66" s="44"/>
      <c r="D66" s="29">
        <v>2886509</v>
      </c>
      <c r="E66" s="29">
        <v>23347714</v>
      </c>
      <c r="F66" s="29">
        <f>1025558+90070</f>
        <v>1115628</v>
      </c>
      <c r="G66" s="29">
        <f>146700+1438635</f>
        <v>1585335</v>
      </c>
      <c r="H66" s="29">
        <f>585542+22839</f>
        <v>608381</v>
      </c>
      <c r="I66" s="29">
        <f>40805+413976</f>
        <v>454781</v>
      </c>
      <c r="J66" s="29">
        <v>1078577</v>
      </c>
      <c r="K66" s="29"/>
      <c r="L66" s="29">
        <v>21078412</v>
      </c>
      <c r="M66" s="29">
        <v>29636</v>
      </c>
      <c r="N66" s="29">
        <v>629</v>
      </c>
      <c r="O66" s="29">
        <v>1137</v>
      </c>
      <c r="P66" s="29">
        <v>812</v>
      </c>
      <c r="Q66" s="29">
        <v>53150</v>
      </c>
      <c r="R66" s="29">
        <v>227745</v>
      </c>
      <c r="S66" s="64">
        <v>31</v>
      </c>
      <c r="T66" s="9"/>
      <c r="U66" s="9"/>
      <c r="V66" s="9"/>
      <c r="W66" s="9"/>
      <c r="X66" s="9"/>
      <c r="Y66" s="9"/>
      <c r="Z66" s="9"/>
      <c r="AA66" s="9"/>
      <c r="AB66" s="9"/>
      <c r="AD66" s="46" t="s">
        <v>44</v>
      </c>
      <c r="AE66" s="29">
        <v>1032484</v>
      </c>
      <c r="AF66" s="29">
        <v>142996</v>
      </c>
      <c r="AG66" s="29">
        <v>89926</v>
      </c>
      <c r="AH66" s="29">
        <v>1362971</v>
      </c>
      <c r="AI66" s="29">
        <f t="shared" si="38"/>
        <v>1122410</v>
      </c>
      <c r="AJ66" s="29">
        <f t="shared" si="38"/>
        <v>1505967</v>
      </c>
      <c r="AK66" s="29">
        <v>595787</v>
      </c>
      <c r="AL66" s="29">
        <v>41565</v>
      </c>
      <c r="AM66" s="29">
        <v>25866</v>
      </c>
      <c r="AN66" s="29">
        <v>429682</v>
      </c>
      <c r="AO66" s="29">
        <f t="shared" si="39"/>
        <v>621653</v>
      </c>
      <c r="AP66" s="29">
        <f t="shared" si="39"/>
        <v>471247</v>
      </c>
      <c r="AQ66" s="29">
        <v>29981</v>
      </c>
      <c r="AR66" s="29">
        <v>637</v>
      </c>
      <c r="AS66" s="29"/>
      <c r="AT66" s="29"/>
      <c r="AU66" s="29">
        <f t="shared" si="40"/>
        <v>29981</v>
      </c>
      <c r="AV66" s="29">
        <f t="shared" si="40"/>
        <v>637</v>
      </c>
    </row>
    <row r="67" spans="1:48" s="1" customFormat="1" ht="13.5" customHeight="1">
      <c r="A67" s="9">
        <v>32</v>
      </c>
      <c r="B67" s="46" t="s">
        <v>45</v>
      </c>
      <c r="C67" s="44"/>
      <c r="D67" s="29">
        <v>18821004</v>
      </c>
      <c r="E67" s="29">
        <v>36564918</v>
      </c>
      <c r="F67" s="29">
        <f>4827164+1556</f>
        <v>4828720</v>
      </c>
      <c r="G67" s="29">
        <f>667476+10405</f>
        <v>677881</v>
      </c>
      <c r="H67" s="29">
        <f>1963698+7555</f>
        <v>1971253</v>
      </c>
      <c r="I67" s="29">
        <f>102966+125796</f>
        <v>228762</v>
      </c>
      <c r="J67" s="29">
        <v>1957425</v>
      </c>
      <c r="K67" s="29"/>
      <c r="L67" s="29">
        <v>32421956</v>
      </c>
      <c r="M67" s="29">
        <v>6494204</v>
      </c>
      <c r="N67" s="29">
        <v>103235</v>
      </c>
      <c r="O67" s="29">
        <v>1934423</v>
      </c>
      <c r="P67" s="29">
        <v>14180</v>
      </c>
      <c r="Q67" s="29">
        <f>1605927+3+29049</f>
        <v>1634979</v>
      </c>
      <c r="R67" s="29">
        <f>3108717+5985+4202</f>
        <v>3118904</v>
      </c>
      <c r="S67" s="64">
        <v>32</v>
      </c>
      <c r="T67" s="9"/>
      <c r="U67" s="9"/>
      <c r="V67" s="9"/>
      <c r="W67" s="9"/>
      <c r="X67" s="9"/>
      <c r="Y67" s="9"/>
      <c r="Z67" s="9"/>
      <c r="AA67" s="9"/>
      <c r="AB67" s="9"/>
      <c r="AD67" s="46" t="s">
        <v>45</v>
      </c>
      <c r="AE67" s="29">
        <v>4863202</v>
      </c>
      <c r="AF67" s="29">
        <v>672714</v>
      </c>
      <c r="AG67" s="29">
        <v>1364</v>
      </c>
      <c r="AH67" s="29">
        <v>10739</v>
      </c>
      <c r="AI67" s="29">
        <f t="shared" si="38"/>
        <v>4864566</v>
      </c>
      <c r="AJ67" s="29">
        <f t="shared" si="38"/>
        <v>683453</v>
      </c>
      <c r="AK67" s="29">
        <v>1979121</v>
      </c>
      <c r="AL67" s="29">
        <v>103723</v>
      </c>
      <c r="AM67" s="29">
        <v>4185</v>
      </c>
      <c r="AN67" s="29">
        <v>69556</v>
      </c>
      <c r="AO67" s="29">
        <f t="shared" si="39"/>
        <v>1983306</v>
      </c>
      <c r="AP67" s="29">
        <f t="shared" si="39"/>
        <v>173279</v>
      </c>
      <c r="AQ67" s="29">
        <v>6486514</v>
      </c>
      <c r="AR67" s="29">
        <v>103111</v>
      </c>
      <c r="AS67" s="29"/>
      <c r="AT67" s="29"/>
      <c r="AU67" s="29">
        <f t="shared" si="40"/>
        <v>6486514</v>
      </c>
      <c r="AV67" s="29">
        <f t="shared" si="40"/>
        <v>103111</v>
      </c>
    </row>
    <row r="68" spans="1:48" s="1" customFormat="1" ht="9.75" customHeight="1">
      <c r="A68" s="9"/>
      <c r="B68" s="46"/>
      <c r="C68" s="44"/>
      <c r="F68" s="29"/>
      <c r="G68" s="29"/>
      <c r="J68" s="29"/>
      <c r="K68" s="29"/>
      <c r="L68" s="29"/>
      <c r="S68" s="64"/>
      <c r="T68" s="9"/>
      <c r="U68" s="9"/>
      <c r="V68" s="9"/>
      <c r="W68" s="9"/>
      <c r="X68" s="9"/>
      <c r="Y68" s="9"/>
      <c r="Z68" s="9"/>
      <c r="AA68" s="9"/>
      <c r="AB68" s="9"/>
      <c r="AD68" s="46"/>
      <c r="AE68" s="29"/>
      <c r="AF68" s="29"/>
      <c r="AG68" s="29"/>
      <c r="AH68" s="29"/>
      <c r="AI68" s="29"/>
      <c r="AJ68" s="29"/>
      <c r="AK68" s="29"/>
      <c r="AM68" s="29"/>
      <c r="AN68" s="29"/>
      <c r="AO68" s="29"/>
      <c r="AP68" s="29"/>
      <c r="AQ68" s="29"/>
      <c r="AS68" s="29"/>
      <c r="AT68" s="29"/>
      <c r="AU68" s="29"/>
      <c r="AV68" s="29"/>
    </row>
    <row r="69" spans="1:48" s="1" customFormat="1" ht="13.5" customHeight="1">
      <c r="A69" s="9">
        <v>33</v>
      </c>
      <c r="B69" s="46" t="s">
        <v>46</v>
      </c>
      <c r="C69" s="44"/>
      <c r="D69" s="29">
        <v>35258000</v>
      </c>
      <c r="E69" s="29">
        <v>15411978</v>
      </c>
      <c r="F69" s="29">
        <v>10670551</v>
      </c>
      <c r="G69" s="29">
        <v>1165869</v>
      </c>
      <c r="H69" s="29">
        <v>4477533</v>
      </c>
      <c r="I69" s="29">
        <v>135841</v>
      </c>
      <c r="J69" s="29">
        <v>1796548</v>
      </c>
      <c r="K69" s="29"/>
      <c r="L69" s="29">
        <v>13280070</v>
      </c>
      <c r="M69" s="29">
        <v>15631009</v>
      </c>
      <c r="N69" s="29">
        <v>173262</v>
      </c>
      <c r="O69" s="29">
        <v>1695050</v>
      </c>
      <c r="P69" s="29">
        <v>4157</v>
      </c>
      <c r="Q69" s="29">
        <f>951281+3+36025</f>
        <v>987309</v>
      </c>
      <c r="R69" s="29">
        <f>640501+1597+10681</f>
        <v>652779</v>
      </c>
      <c r="S69" s="64">
        <v>33</v>
      </c>
      <c r="T69" s="9"/>
      <c r="U69" s="9"/>
      <c r="V69" s="9"/>
      <c r="W69" s="9"/>
      <c r="X69" s="9"/>
      <c r="Y69" s="9"/>
      <c r="Z69" s="9"/>
      <c r="AA69" s="9"/>
      <c r="AB69" s="9"/>
      <c r="AD69" s="46" t="s">
        <v>46</v>
      </c>
      <c r="AE69" s="29">
        <v>10698545</v>
      </c>
      <c r="AF69" s="29">
        <v>1168612</v>
      </c>
      <c r="AG69" s="29">
        <v>0</v>
      </c>
      <c r="AH69" s="29">
        <v>0</v>
      </c>
      <c r="AI69" s="29">
        <f aca="true" t="shared" si="41" ref="AI69:AJ71">AE69+AG69</f>
        <v>10698545</v>
      </c>
      <c r="AJ69" s="29">
        <f t="shared" si="41"/>
        <v>1168612</v>
      </c>
      <c r="AK69" s="29">
        <v>4483068</v>
      </c>
      <c r="AL69" s="29">
        <v>135962</v>
      </c>
      <c r="AM69" s="29">
        <v>0</v>
      </c>
      <c r="AN69" s="29">
        <v>0</v>
      </c>
      <c r="AO69" s="29">
        <f aca="true" t="shared" si="42" ref="AO69:AO78">AK69+AM69</f>
        <v>4483068</v>
      </c>
      <c r="AP69" s="29">
        <f aca="true" t="shared" si="43" ref="AP69:AP78">AL69+AN69</f>
        <v>135962</v>
      </c>
      <c r="AQ69" s="29">
        <v>15677603</v>
      </c>
      <c r="AR69" s="29">
        <v>173918</v>
      </c>
      <c r="AS69" s="29"/>
      <c r="AT69" s="29"/>
      <c r="AU69" s="29">
        <f aca="true" t="shared" si="44" ref="AU69:AU78">AQ69+AS69</f>
        <v>15677603</v>
      </c>
      <c r="AV69" s="29">
        <f aca="true" t="shared" si="45" ref="AV69:AV78">AR69+AT69</f>
        <v>173918</v>
      </c>
    </row>
    <row r="70" spans="1:48" s="1" customFormat="1" ht="13.5" customHeight="1">
      <c r="A70" s="9">
        <v>34</v>
      </c>
      <c r="B70" s="46" t="s">
        <v>47</v>
      </c>
      <c r="C70" s="44"/>
      <c r="D70" s="29">
        <v>35761740</v>
      </c>
      <c r="E70" s="29">
        <v>14535091</v>
      </c>
      <c r="F70" s="29">
        <v>5727742</v>
      </c>
      <c r="G70" s="29">
        <v>718857</v>
      </c>
      <c r="H70" s="29">
        <v>10369873</v>
      </c>
      <c r="I70" s="29">
        <v>349317</v>
      </c>
      <c r="J70" s="29">
        <v>2383287</v>
      </c>
      <c r="K70" s="29"/>
      <c r="L70" s="29">
        <v>12921246</v>
      </c>
      <c r="M70" s="29">
        <v>15038003</v>
      </c>
      <c r="N70" s="29">
        <v>275015</v>
      </c>
      <c r="O70" s="29">
        <v>1751050</v>
      </c>
      <c r="P70" s="29">
        <v>20141</v>
      </c>
      <c r="Q70" s="29">
        <f>491377+408</f>
        <v>491785</v>
      </c>
      <c r="R70" s="29">
        <f>250510+5</f>
        <v>250515</v>
      </c>
      <c r="S70" s="64">
        <v>34</v>
      </c>
      <c r="T70" s="9"/>
      <c r="U70" s="9"/>
      <c r="V70" s="9"/>
      <c r="W70" s="9"/>
      <c r="X70" s="9"/>
      <c r="Y70" s="9"/>
      <c r="Z70" s="9"/>
      <c r="AA70" s="9"/>
      <c r="AB70" s="9"/>
      <c r="AD70" s="46" t="s">
        <v>47</v>
      </c>
      <c r="AE70" s="29">
        <v>5827568</v>
      </c>
      <c r="AF70" s="29">
        <v>700837</v>
      </c>
      <c r="AG70" s="29">
        <v>0</v>
      </c>
      <c r="AH70" s="29">
        <v>0</v>
      </c>
      <c r="AI70" s="29">
        <f t="shared" si="41"/>
        <v>5827568</v>
      </c>
      <c r="AJ70" s="29">
        <f t="shared" si="41"/>
        <v>700837</v>
      </c>
      <c r="AK70" s="29">
        <v>10429664</v>
      </c>
      <c r="AL70" s="29">
        <v>350761</v>
      </c>
      <c r="AM70" s="29">
        <v>0</v>
      </c>
      <c r="AN70" s="29">
        <v>0</v>
      </c>
      <c r="AO70" s="29">
        <f t="shared" si="42"/>
        <v>10429664</v>
      </c>
      <c r="AP70" s="29">
        <f t="shared" si="43"/>
        <v>350761</v>
      </c>
      <c r="AQ70" s="29">
        <v>15123765</v>
      </c>
      <c r="AR70" s="29">
        <v>276546</v>
      </c>
      <c r="AS70" s="29"/>
      <c r="AT70" s="29"/>
      <c r="AU70" s="29">
        <f t="shared" si="44"/>
        <v>15123765</v>
      </c>
      <c r="AV70" s="29">
        <f t="shared" si="45"/>
        <v>276546</v>
      </c>
    </row>
    <row r="71" spans="1:48" s="1" customFormat="1" ht="13.5" customHeight="1">
      <c r="A71" s="9">
        <v>35</v>
      </c>
      <c r="B71" s="46" t="s">
        <v>48</v>
      </c>
      <c r="C71" s="44"/>
      <c r="D71" s="29">
        <v>30312855</v>
      </c>
      <c r="E71" s="29">
        <v>7956483</v>
      </c>
      <c r="F71" s="29">
        <v>5788525</v>
      </c>
      <c r="G71" s="29">
        <v>612004</v>
      </c>
      <c r="H71" s="29">
        <v>8350062</v>
      </c>
      <c r="I71" s="29">
        <v>242090</v>
      </c>
      <c r="J71" s="29">
        <v>1285109</v>
      </c>
      <c r="K71" s="29"/>
      <c r="L71" s="29">
        <v>6719697</v>
      </c>
      <c r="M71" s="29">
        <v>8948132</v>
      </c>
      <c r="N71" s="29">
        <v>150820</v>
      </c>
      <c r="O71" s="29">
        <v>5516740</v>
      </c>
      <c r="P71" s="29">
        <v>55608</v>
      </c>
      <c r="Q71" s="29">
        <v>424287</v>
      </c>
      <c r="R71" s="29">
        <v>176264</v>
      </c>
      <c r="S71" s="64">
        <v>35</v>
      </c>
      <c r="T71" s="9"/>
      <c r="U71" s="9"/>
      <c r="V71" s="9"/>
      <c r="W71" s="9"/>
      <c r="X71" s="9"/>
      <c r="Y71" s="9"/>
      <c r="Z71" s="9"/>
      <c r="AA71" s="9"/>
      <c r="AB71" s="9"/>
      <c r="AD71" s="46" t="s">
        <v>48</v>
      </c>
      <c r="AE71" s="29">
        <v>5797191</v>
      </c>
      <c r="AF71" s="29">
        <v>612992</v>
      </c>
      <c r="AG71" s="29">
        <v>0</v>
      </c>
      <c r="AH71" s="29">
        <v>0</v>
      </c>
      <c r="AI71" s="29">
        <f t="shared" si="41"/>
        <v>5797191</v>
      </c>
      <c r="AJ71" s="29">
        <f t="shared" si="41"/>
        <v>612992</v>
      </c>
      <c r="AK71" s="29">
        <v>8338570</v>
      </c>
      <c r="AL71" s="29">
        <v>242344</v>
      </c>
      <c r="AM71" s="29">
        <v>0</v>
      </c>
      <c r="AN71" s="29">
        <v>0</v>
      </c>
      <c r="AO71" s="29">
        <f t="shared" si="42"/>
        <v>8338570</v>
      </c>
      <c r="AP71" s="29">
        <f t="shared" si="43"/>
        <v>242344</v>
      </c>
      <c r="AQ71" s="29">
        <v>8977671</v>
      </c>
      <c r="AR71" s="29">
        <v>151296</v>
      </c>
      <c r="AS71" s="29"/>
      <c r="AT71" s="29"/>
      <c r="AU71" s="29">
        <f t="shared" si="44"/>
        <v>8977671</v>
      </c>
      <c r="AV71" s="29">
        <f t="shared" si="45"/>
        <v>151296</v>
      </c>
    </row>
    <row r="72" spans="1:48" s="1" customFormat="1" ht="8.25" customHeight="1">
      <c r="A72" s="9"/>
      <c r="B72" s="46"/>
      <c r="C72" s="44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64"/>
      <c r="T72" s="9"/>
      <c r="U72" s="9"/>
      <c r="V72" s="9"/>
      <c r="W72" s="9"/>
      <c r="X72" s="9"/>
      <c r="Y72" s="9"/>
      <c r="Z72" s="9"/>
      <c r="AA72" s="9"/>
      <c r="AB72" s="9"/>
      <c r="AD72" s="46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>
        <f t="shared" si="42"/>
        <v>0</v>
      </c>
      <c r="AP72" s="29">
        <f t="shared" si="43"/>
        <v>0</v>
      </c>
      <c r="AQ72" s="29"/>
      <c r="AR72" s="29"/>
      <c r="AS72" s="29"/>
      <c r="AT72" s="29"/>
      <c r="AU72" s="29">
        <f t="shared" si="44"/>
        <v>0</v>
      </c>
      <c r="AV72" s="29">
        <f t="shared" si="45"/>
        <v>0</v>
      </c>
    </row>
    <row r="73" spans="1:48" s="36" customFormat="1" ht="12.75" customHeight="1">
      <c r="A73" s="54" t="s">
        <v>49</v>
      </c>
      <c r="B73" s="55" t="s">
        <v>50</v>
      </c>
      <c r="C73" s="40"/>
      <c r="D73" s="33">
        <f aca="true" t="shared" si="46" ref="D73:J73">SUM(D75:D79)</f>
        <v>259717780</v>
      </c>
      <c r="E73" s="33">
        <f t="shared" si="46"/>
        <v>31702662</v>
      </c>
      <c r="F73" s="33">
        <f t="shared" si="46"/>
        <v>31660710</v>
      </c>
      <c r="G73" s="33">
        <f t="shared" si="46"/>
        <v>3403639</v>
      </c>
      <c r="H73" s="33">
        <f t="shared" si="46"/>
        <v>8512369</v>
      </c>
      <c r="I73" s="33">
        <f t="shared" si="46"/>
        <v>280159</v>
      </c>
      <c r="J73" s="33">
        <f t="shared" si="46"/>
        <v>4774280</v>
      </c>
      <c r="K73" s="33"/>
      <c r="L73" s="33">
        <f aca="true" t="shared" si="47" ref="L73:Q73">SUM(L75:L79)</f>
        <v>22891219</v>
      </c>
      <c r="M73" s="33">
        <f t="shared" si="47"/>
        <v>184977314</v>
      </c>
      <c r="N73" s="33">
        <f t="shared" si="47"/>
        <v>1746017</v>
      </c>
      <c r="O73" s="33">
        <f t="shared" si="47"/>
        <v>26598526</v>
      </c>
      <c r="P73" s="33">
        <f t="shared" si="47"/>
        <v>220923</v>
      </c>
      <c r="Q73" s="33">
        <f t="shared" si="47"/>
        <v>3194581</v>
      </c>
      <c r="R73" s="33">
        <f>SUM(R75:R79)</f>
        <v>3160705</v>
      </c>
      <c r="S73" s="65" t="s">
        <v>49</v>
      </c>
      <c r="T73" s="35"/>
      <c r="U73" s="35"/>
      <c r="V73" s="35"/>
      <c r="W73" s="35"/>
      <c r="X73" s="35"/>
      <c r="Y73" s="35"/>
      <c r="Z73" s="35"/>
      <c r="AA73" s="35"/>
      <c r="AB73" s="35"/>
      <c r="AD73" s="55" t="s">
        <v>50</v>
      </c>
      <c r="AE73" s="33">
        <f>SUM(AE75:AE79)</f>
        <v>31799635</v>
      </c>
      <c r="AF73" s="33">
        <f>SUM(AF75:AF79)</f>
        <v>3412772</v>
      </c>
      <c r="AG73" s="33">
        <f>SUM(AG75:AG79)</f>
        <v>1139</v>
      </c>
      <c r="AH73" s="33">
        <f>SUM(AH75:AH79)</f>
        <v>3323</v>
      </c>
      <c r="AI73" s="29">
        <f>AE73+AG73</f>
        <v>31800774</v>
      </c>
      <c r="AJ73" s="29">
        <f>AF73+AH73</f>
        <v>3416095</v>
      </c>
      <c r="AK73" s="33">
        <f>SUM(AK75:AK79)</f>
        <v>8546294</v>
      </c>
      <c r="AL73" s="33">
        <f>SUM(AL75:AL78)</f>
        <v>278168</v>
      </c>
      <c r="AM73" s="33">
        <f>SUM(AM75:AM79)</f>
        <v>21953</v>
      </c>
      <c r="AN73" s="33">
        <f>SUM(AN75:AN79)</f>
        <v>3343</v>
      </c>
      <c r="AO73" s="29">
        <f t="shared" si="42"/>
        <v>8568247</v>
      </c>
      <c r="AP73" s="29">
        <f t="shared" si="43"/>
        <v>281511</v>
      </c>
      <c r="AQ73" s="33">
        <f>SUM(AQ75:AQ79)</f>
        <v>186168650</v>
      </c>
      <c r="AR73" s="33">
        <f>SUM(AR75:AR78)</f>
        <v>1752994</v>
      </c>
      <c r="AS73" s="33">
        <f>SUM(AS75:AS79)</f>
        <v>0</v>
      </c>
      <c r="AT73" s="33">
        <f>SUM(AT75:AT79)</f>
        <v>0</v>
      </c>
      <c r="AU73" s="29">
        <f t="shared" si="44"/>
        <v>186168650</v>
      </c>
      <c r="AV73" s="29">
        <f t="shared" si="45"/>
        <v>1752994</v>
      </c>
    </row>
    <row r="74" spans="1:48" s="1" customFormat="1" ht="8.25" customHeight="1">
      <c r="A74" s="58"/>
      <c r="B74" s="59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6"/>
      <c r="T74" s="9"/>
      <c r="U74" s="9"/>
      <c r="V74" s="9"/>
      <c r="W74" s="9"/>
      <c r="X74" s="9"/>
      <c r="Y74" s="9"/>
      <c r="Z74" s="9"/>
      <c r="AA74" s="9"/>
      <c r="AB74" s="9"/>
      <c r="AD74" s="59"/>
      <c r="AE74" s="61"/>
      <c r="AF74" s="61"/>
      <c r="AG74" s="61"/>
      <c r="AH74" s="61"/>
      <c r="AI74" s="29"/>
      <c r="AJ74" s="29"/>
      <c r="AK74" s="61"/>
      <c r="AL74" s="61"/>
      <c r="AM74" s="61"/>
      <c r="AN74" s="61"/>
      <c r="AO74" s="29">
        <f t="shared" si="42"/>
        <v>0</v>
      </c>
      <c r="AP74" s="29">
        <f t="shared" si="43"/>
        <v>0</v>
      </c>
      <c r="AQ74" s="61"/>
      <c r="AR74" s="61"/>
      <c r="AS74" s="61"/>
      <c r="AT74" s="61"/>
      <c r="AU74" s="29">
        <f t="shared" si="44"/>
        <v>0</v>
      </c>
      <c r="AV74" s="29">
        <f t="shared" si="45"/>
        <v>0</v>
      </c>
    </row>
    <row r="75" spans="1:48" s="1" customFormat="1" ht="12.75" customHeight="1">
      <c r="A75" s="9">
        <v>36</v>
      </c>
      <c r="B75" s="46" t="s">
        <v>51</v>
      </c>
      <c r="C75" s="44"/>
      <c r="D75" s="29">
        <v>119254161</v>
      </c>
      <c r="E75" s="29">
        <v>7922619</v>
      </c>
      <c r="F75" s="29">
        <f>14300462+442</f>
        <v>14300904</v>
      </c>
      <c r="G75" s="29">
        <f>1515379+319</f>
        <v>1515698</v>
      </c>
      <c r="H75" s="29">
        <f>2669084+1222</f>
        <v>2670306</v>
      </c>
      <c r="I75" s="29">
        <f>69324+1006</f>
        <v>70330</v>
      </c>
      <c r="J75" s="29">
        <v>1595296</v>
      </c>
      <c r="K75" s="29"/>
      <c r="L75" s="29">
        <v>4646529</v>
      </c>
      <c r="M75" s="29">
        <v>92340301</v>
      </c>
      <c r="N75" s="29">
        <v>974858</v>
      </c>
      <c r="O75" s="29">
        <v>7828055</v>
      </c>
      <c r="P75" s="29">
        <v>83888</v>
      </c>
      <c r="Q75" s="29">
        <f>519269+30</f>
        <v>519299</v>
      </c>
      <c r="R75" s="29">
        <f>630686+630</f>
        <v>631316</v>
      </c>
      <c r="S75" s="64">
        <v>36</v>
      </c>
      <c r="T75" s="9"/>
      <c r="U75" s="9"/>
      <c r="V75" s="9"/>
      <c r="W75" s="9"/>
      <c r="X75" s="9"/>
      <c r="Y75" s="9"/>
      <c r="Z75" s="9"/>
      <c r="AA75" s="9"/>
      <c r="AB75" s="9"/>
      <c r="AD75" s="46" t="s">
        <v>51</v>
      </c>
      <c r="AE75" s="29">
        <v>14358926</v>
      </c>
      <c r="AF75" s="29">
        <v>1522093</v>
      </c>
      <c r="AG75" s="29">
        <v>442</v>
      </c>
      <c r="AH75" s="29">
        <v>345</v>
      </c>
      <c r="AI75" s="29">
        <f aca="true" t="shared" si="48" ref="AI75:AJ78">AE75+AG75</f>
        <v>14359368</v>
      </c>
      <c r="AJ75" s="29">
        <f t="shared" si="48"/>
        <v>1522438</v>
      </c>
      <c r="AK75" s="29">
        <v>2683896</v>
      </c>
      <c r="AL75" s="29">
        <v>69650</v>
      </c>
      <c r="AM75" s="29">
        <v>560</v>
      </c>
      <c r="AN75" s="29">
        <v>537</v>
      </c>
      <c r="AO75" s="29">
        <f t="shared" si="42"/>
        <v>2684456</v>
      </c>
      <c r="AP75" s="29">
        <f t="shared" si="43"/>
        <v>70187</v>
      </c>
      <c r="AQ75" s="29">
        <v>93157697</v>
      </c>
      <c r="AR75" s="29">
        <v>979524</v>
      </c>
      <c r="AS75" s="29"/>
      <c r="AT75" s="29"/>
      <c r="AU75" s="29">
        <f t="shared" si="44"/>
        <v>93157697</v>
      </c>
      <c r="AV75" s="29">
        <f t="shared" si="45"/>
        <v>979524</v>
      </c>
    </row>
    <row r="76" spans="1:48" s="1" customFormat="1" ht="12.75" customHeight="1">
      <c r="A76" s="9">
        <v>37</v>
      </c>
      <c r="B76" s="46" t="s">
        <v>52</v>
      </c>
      <c r="C76" s="44"/>
      <c r="D76" s="29">
        <v>44876423</v>
      </c>
      <c r="E76" s="29">
        <v>6217871</v>
      </c>
      <c r="F76" s="29">
        <v>4465444</v>
      </c>
      <c r="G76" s="29">
        <v>387169</v>
      </c>
      <c r="H76" s="29">
        <f>1544999+21108</f>
        <v>1566107</v>
      </c>
      <c r="I76" s="29">
        <f>40925+1884</f>
        <v>42809</v>
      </c>
      <c r="J76" s="29">
        <v>926162</v>
      </c>
      <c r="K76" s="29"/>
      <c r="L76" s="29">
        <v>5462768</v>
      </c>
      <c r="M76" s="29">
        <v>34381032</v>
      </c>
      <c r="N76" s="29">
        <v>204105</v>
      </c>
      <c r="O76" s="29">
        <v>3284774</v>
      </c>
      <c r="P76" s="29">
        <v>18645</v>
      </c>
      <c r="Q76" s="29">
        <f>252799+105</f>
        <v>252904</v>
      </c>
      <c r="R76" s="29">
        <f>102374+1</f>
        <v>102375</v>
      </c>
      <c r="S76" s="64">
        <v>37</v>
      </c>
      <c r="T76" s="9"/>
      <c r="U76" s="9"/>
      <c r="V76" s="9"/>
      <c r="W76" s="9"/>
      <c r="X76" s="9"/>
      <c r="Y76" s="9"/>
      <c r="Z76" s="9"/>
      <c r="AA76" s="9"/>
      <c r="AB76" s="9"/>
      <c r="AD76" s="46" t="s">
        <v>52</v>
      </c>
      <c r="AE76" s="29">
        <v>4483427</v>
      </c>
      <c r="AF76" s="29">
        <v>388223</v>
      </c>
      <c r="AG76" s="29">
        <v>0</v>
      </c>
      <c r="AH76" s="29">
        <v>0</v>
      </c>
      <c r="AI76" s="29">
        <f t="shared" si="48"/>
        <v>4483427</v>
      </c>
      <c r="AJ76" s="29">
        <f t="shared" si="48"/>
        <v>388223</v>
      </c>
      <c r="AK76" s="29">
        <v>1552860</v>
      </c>
      <c r="AL76" s="29">
        <v>41198</v>
      </c>
      <c r="AM76" s="29">
        <v>21222</v>
      </c>
      <c r="AN76" s="29">
        <v>1895</v>
      </c>
      <c r="AO76" s="29">
        <f t="shared" si="42"/>
        <v>1574082</v>
      </c>
      <c r="AP76" s="29">
        <f t="shared" si="43"/>
        <v>43093</v>
      </c>
      <c r="AQ76" s="29">
        <v>34676646</v>
      </c>
      <c r="AR76" s="29">
        <v>205556</v>
      </c>
      <c r="AS76" s="29"/>
      <c r="AT76" s="29"/>
      <c r="AU76" s="29">
        <f t="shared" si="44"/>
        <v>34676646</v>
      </c>
      <c r="AV76" s="29">
        <f t="shared" si="45"/>
        <v>205556</v>
      </c>
    </row>
    <row r="77" spans="1:48" s="1" customFormat="1" ht="12.75" customHeight="1">
      <c r="A77" s="9">
        <v>38</v>
      </c>
      <c r="B77" s="46" t="s">
        <v>53</v>
      </c>
      <c r="C77" s="44"/>
      <c r="D77" s="29">
        <v>41617686</v>
      </c>
      <c r="E77" s="29">
        <v>4665102</v>
      </c>
      <c r="F77" s="29">
        <f>5695004+697</f>
        <v>5695701</v>
      </c>
      <c r="G77" s="29">
        <f>680199+2978</f>
        <v>683177</v>
      </c>
      <c r="H77" s="29">
        <f>1618776+171</f>
        <v>1618947</v>
      </c>
      <c r="I77" s="29">
        <f>59295+911</f>
        <v>60206</v>
      </c>
      <c r="J77" s="29">
        <v>731333</v>
      </c>
      <c r="K77" s="29"/>
      <c r="L77" s="29">
        <v>3473010</v>
      </c>
      <c r="M77" s="29">
        <v>24410000</v>
      </c>
      <c r="N77" s="29">
        <v>189155</v>
      </c>
      <c r="O77" s="29">
        <v>8384304</v>
      </c>
      <c r="P77" s="29">
        <v>40014</v>
      </c>
      <c r="Q77" s="29">
        <f>674560+102841</f>
        <v>777401</v>
      </c>
      <c r="R77" s="29">
        <f>218292+1248</f>
        <v>219540</v>
      </c>
      <c r="S77" s="64">
        <v>38</v>
      </c>
      <c r="T77" s="9"/>
      <c r="U77" s="9"/>
      <c r="V77" s="9"/>
      <c r="W77" s="9"/>
      <c r="X77" s="9"/>
      <c r="Y77" s="9"/>
      <c r="Z77" s="9"/>
      <c r="AA77" s="9"/>
      <c r="AB77" s="9"/>
      <c r="AD77" s="46" t="s">
        <v>53</v>
      </c>
      <c r="AE77" s="29">
        <v>5712167</v>
      </c>
      <c r="AF77" s="29">
        <v>680282</v>
      </c>
      <c r="AG77" s="29">
        <v>697</v>
      </c>
      <c r="AH77" s="29">
        <v>2978</v>
      </c>
      <c r="AI77" s="29">
        <f t="shared" si="48"/>
        <v>5712864</v>
      </c>
      <c r="AJ77" s="29">
        <f t="shared" si="48"/>
        <v>683260</v>
      </c>
      <c r="AK77" s="29">
        <v>1636690</v>
      </c>
      <c r="AL77" s="29">
        <v>59917</v>
      </c>
      <c r="AM77" s="29">
        <v>171</v>
      </c>
      <c r="AN77" s="29">
        <v>911</v>
      </c>
      <c r="AO77" s="29">
        <f t="shared" si="42"/>
        <v>1636861</v>
      </c>
      <c r="AP77" s="29">
        <f t="shared" si="43"/>
        <v>60828</v>
      </c>
      <c r="AQ77" s="29">
        <v>24471409</v>
      </c>
      <c r="AR77" s="29">
        <v>189604</v>
      </c>
      <c r="AS77" s="29"/>
      <c r="AT77" s="29"/>
      <c r="AU77" s="29">
        <f t="shared" si="44"/>
        <v>24471409</v>
      </c>
      <c r="AV77" s="29">
        <f t="shared" si="45"/>
        <v>189604</v>
      </c>
    </row>
    <row r="78" spans="1:48" s="1" customFormat="1" ht="12.75" customHeight="1">
      <c r="A78" s="9">
        <v>39</v>
      </c>
      <c r="B78" s="46" t="s">
        <v>54</v>
      </c>
      <c r="C78" s="44"/>
      <c r="D78" s="67">
        <v>53969510</v>
      </c>
      <c r="E78" s="67">
        <v>12897070</v>
      </c>
      <c r="F78" s="29">
        <v>7198661</v>
      </c>
      <c r="G78" s="29">
        <v>817595</v>
      </c>
      <c r="H78" s="29">
        <v>2657009</v>
      </c>
      <c r="I78" s="29">
        <v>106814</v>
      </c>
      <c r="J78" s="67">
        <v>1521489</v>
      </c>
      <c r="K78" s="67"/>
      <c r="L78" s="67">
        <v>9308912</v>
      </c>
      <c r="M78" s="29">
        <v>33845981</v>
      </c>
      <c r="N78" s="29">
        <v>377899</v>
      </c>
      <c r="O78" s="67">
        <v>7101393</v>
      </c>
      <c r="P78" s="67">
        <v>78376</v>
      </c>
      <c r="Q78" s="29">
        <f>1644252+3+722</f>
        <v>1644977</v>
      </c>
      <c r="R78" s="29">
        <f>2205342+165+1967</f>
        <v>2207474</v>
      </c>
      <c r="S78" s="64">
        <v>39</v>
      </c>
      <c r="T78" s="9"/>
      <c r="U78" s="9"/>
      <c r="V78" s="9"/>
      <c r="W78" s="9"/>
      <c r="X78" s="9"/>
      <c r="Y78" s="9"/>
      <c r="Z78" s="9"/>
      <c r="AA78" s="9"/>
      <c r="AB78" s="9"/>
      <c r="AD78" s="46" t="s">
        <v>54</v>
      </c>
      <c r="AE78" s="67">
        <v>7245115</v>
      </c>
      <c r="AF78" s="67">
        <v>822174</v>
      </c>
      <c r="AG78" s="67">
        <v>0</v>
      </c>
      <c r="AH78" s="67">
        <v>0</v>
      </c>
      <c r="AI78" s="29">
        <f t="shared" si="48"/>
        <v>7245115</v>
      </c>
      <c r="AJ78" s="29">
        <f t="shared" si="48"/>
        <v>822174</v>
      </c>
      <c r="AK78" s="67">
        <v>2672848</v>
      </c>
      <c r="AL78" s="29">
        <v>107403</v>
      </c>
      <c r="AM78" s="67">
        <v>0</v>
      </c>
      <c r="AN78" s="67">
        <v>0</v>
      </c>
      <c r="AO78" s="29">
        <f t="shared" si="42"/>
        <v>2672848</v>
      </c>
      <c r="AP78" s="29">
        <f t="shared" si="43"/>
        <v>107403</v>
      </c>
      <c r="AQ78" s="67">
        <v>33862898</v>
      </c>
      <c r="AR78" s="29">
        <v>378310</v>
      </c>
      <c r="AS78" s="67"/>
      <c r="AT78" s="67"/>
      <c r="AU78" s="29">
        <f t="shared" si="44"/>
        <v>33862898</v>
      </c>
      <c r="AV78" s="29">
        <f t="shared" si="45"/>
        <v>378310</v>
      </c>
    </row>
    <row r="79" spans="1:48" ht="6" customHeight="1" thickBot="1">
      <c r="A79" s="68"/>
      <c r="B79" s="69"/>
      <c r="C79" s="70"/>
      <c r="D79" s="71"/>
      <c r="E79" s="71"/>
      <c r="F79" s="71"/>
      <c r="G79" s="71"/>
      <c r="H79" s="71"/>
      <c r="I79" s="71"/>
      <c r="J79" s="71"/>
      <c r="K79" s="53"/>
      <c r="L79" s="72"/>
      <c r="M79" s="72"/>
      <c r="N79" s="72"/>
      <c r="O79" s="72"/>
      <c r="P79" s="72"/>
      <c r="Q79" s="72"/>
      <c r="R79" s="72"/>
      <c r="S79" s="73"/>
      <c r="T79" s="68"/>
      <c r="U79" s="51"/>
      <c r="V79" s="51"/>
      <c r="W79" s="51"/>
      <c r="X79" s="51"/>
      <c r="Y79" s="51"/>
      <c r="Z79" s="51"/>
      <c r="AA79" s="51"/>
      <c r="AB79" s="51"/>
      <c r="AD79" s="69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</row>
    <row r="80" ht="12.75" thickTop="1"/>
  </sheetData>
  <mergeCells count="33">
    <mergeCell ref="S15:T15"/>
    <mergeCell ref="A6:C7"/>
    <mergeCell ref="O6:P6"/>
    <mergeCell ref="Q6:R6"/>
    <mergeCell ref="H6:I6"/>
    <mergeCell ref="M6:N6"/>
    <mergeCell ref="A15:B15"/>
    <mergeCell ref="A11:C11"/>
    <mergeCell ref="A9:C9"/>
    <mergeCell ref="A17:B17"/>
    <mergeCell ref="F6:G6"/>
    <mergeCell ref="A13:C13"/>
    <mergeCell ref="A10:C10"/>
    <mergeCell ref="A12:C12"/>
    <mergeCell ref="S17:T17"/>
    <mergeCell ref="D6:E6"/>
    <mergeCell ref="L1:N1"/>
    <mergeCell ref="O1:P1"/>
    <mergeCell ref="S6:T6"/>
    <mergeCell ref="S7:T7"/>
    <mergeCell ref="A4:E4"/>
    <mergeCell ref="A3:F3"/>
    <mergeCell ref="R4:T4"/>
    <mergeCell ref="E1:J1"/>
    <mergeCell ref="AE6:AF6"/>
    <mergeCell ref="AG6:AH6"/>
    <mergeCell ref="AI6:AJ6"/>
    <mergeCell ref="AK6:AL6"/>
    <mergeCell ref="AU6:AV6"/>
    <mergeCell ref="AM6:AN6"/>
    <mergeCell ref="AO6:AP6"/>
    <mergeCell ref="AQ6:AR6"/>
    <mergeCell ref="AS6:AT6"/>
  </mergeCells>
  <printOptions/>
  <pageMargins left="0.82" right="0.19" top="0.68" bottom="0" header="10.83" footer="0"/>
  <pageSetup horizontalDpi="600" verticalDpi="600" orientation="portrait" paperSize="9" scale="74"/>
  <colBreaks count="1" manualBreakCount="1">
    <brk id="11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伊藤 巴</cp:lastModifiedBy>
  <cp:lastPrinted>2005-11-07T10:33:23Z</cp:lastPrinted>
  <dcterms:created xsi:type="dcterms:W3CDTF">2005-04-19T04:30:22Z</dcterms:created>
  <dcterms:modified xsi:type="dcterms:W3CDTF">2005-12-08T08:45:19Z</dcterms:modified>
  <cp:category/>
  <cp:version/>
  <cp:contentType/>
  <cp:contentStatus/>
</cp:coreProperties>
</file>